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53" firstSheet="0" activeTab="6"/>
  </bookViews>
  <sheets>
    <sheet name="Tablas de Sueldos" sheetId="1" state="visible" r:id="rId2"/>
    <sheet name="Datos" sheetId="2" state="visible" r:id="rId3"/>
    <sheet name="Diciembre 2014" sheetId="3" state="visible" r:id="rId4"/>
    <sheet name="Enero 2015" sheetId="4" state="visible" r:id="rId5"/>
    <sheet name="Septiembre 2015" sheetId="5" state="visible" r:id="rId6"/>
    <sheet name="Enero 2016" sheetId="6" state="visible" r:id="rId7"/>
    <sheet name="Septiembre 2016" sheetId="7" state="visible" r:id="rId8"/>
  </sheets>
  <calcPr iterateCount="100" refMode="A1" iterate="false" iterateDelta="0.001"/>
</workbook>
</file>

<file path=xl/sharedStrings.xml><?xml version="1.0" encoding="utf-8"?>
<sst xmlns="http://schemas.openxmlformats.org/spreadsheetml/2006/main" count="264" uniqueCount="84">
  <si>
    <t>Categoría</t>
  </si>
  <si>
    <t>Dic 2014</t>
  </si>
  <si>
    <t>Ajuste</t>
  </si>
  <si>
    <t>Ene2015</t>
  </si>
  <si>
    <t>Sep 2015</t>
  </si>
  <si>
    <t>Ene 2016</t>
  </si>
  <si>
    <t>Sep 2016</t>
  </si>
  <si>
    <t>Instructor Tiempo Completo</t>
  </si>
  <si>
    <t>Instructor Dedicación Exclusiva</t>
  </si>
  <si>
    <t>Asistente Tiempo Completo</t>
  </si>
  <si>
    <t>Asistente Dedicación Exclusiva</t>
  </si>
  <si>
    <t>Agregado Tiempo Completo</t>
  </si>
  <si>
    <t>Agregado Dedicación Exclusiva</t>
  </si>
  <si>
    <t>Asociado Tiempo Completo</t>
  </si>
  <si>
    <t>Asociado Dedicación Exclusiva</t>
  </si>
  <si>
    <t>Titular Tiempo Completo</t>
  </si>
  <si>
    <t>Titular Dedicación Exclusiva</t>
  </si>
  <si>
    <t>Prima Hijo</t>
  </si>
  <si>
    <t>Prima Hogar</t>
  </si>
  <si>
    <t>Prima Titular</t>
  </si>
  <si>
    <t>Beca por Hijos</t>
  </si>
  <si>
    <t>Prima Apoyo</t>
  </si>
  <si>
    <t>Bono Navideño (días)</t>
  </si>
  <si>
    <t>Útiles escolares</t>
  </si>
  <si>
    <t>Juguetes</t>
  </si>
  <si>
    <t>Ayuda por hijos con discapacidad</t>
  </si>
  <si>
    <t>Cesta tickets (días)</t>
  </si>
  <si>
    <t>Unidad Tributaria</t>
  </si>
  <si>
    <t>Marque su Categoría con x (SOLO UNA)</t>
  </si>
  <si>
    <t>x</t>
  </si>
  <si>
    <t>Porcentaje de retención</t>
  </si>
  <si>
    <t>3.65</t>
  </si>
  <si>
    <t>Colocar el porcentaje estimado de retención</t>
  </si>
  <si>
    <t>Número de Hijos</t>
  </si>
  <si>
    <t>Para el Cálculo se supone que TODOS los hijos tendrán BECA Escolar</t>
  </si>
  <si>
    <t>Años de ser titular</t>
  </si>
  <si>
    <t>Se debe modificar una vez se cumpla un año mas en el mes del ascenso</t>
  </si>
  <si>
    <t>Doctorado</t>
  </si>
  <si>
    <t>si</t>
  </si>
  <si>
    <t>Hijos con discapacidad</t>
  </si>
  <si>
    <t>Para el cálculo de bono de hijos con discapacidad</t>
  </si>
  <si>
    <t>Hijos menores de 13 años</t>
  </si>
  <si>
    <t>Para el cálculo de bono de juguetes</t>
  </si>
  <si>
    <t>CONCEPTO</t>
  </si>
  <si>
    <t>INGRESOS</t>
  </si>
  <si>
    <t>DEDUCCIONES</t>
  </si>
  <si>
    <t>APOR. ULA</t>
  </si>
  <si>
    <t>SUELDO BASICO</t>
  </si>
  <si>
    <t>PRIMA DE ANTIGÜEDAD</t>
  </si>
  <si>
    <t>PRIMA POR HOGAR</t>
  </si>
  <si>
    <t>PRIMA POR HIJO(S)</t>
  </si>
  <si>
    <t>BECA POR HIJOS</t>
  </si>
  <si>
    <t>PRIMA APOYO DOC/INV</t>
  </si>
  <si>
    <t>AYUDA POR HIJO CON DISCAPACIDAD</t>
  </si>
  <si>
    <t>IMPUESTO S/R</t>
  </si>
  <si>
    <t>SEGURO DE VIDA</t>
  </si>
  <si>
    <t>C.A.M.I.U.L.A.</t>
  </si>
  <si>
    <t>LEY HABITACIONAL</t>
  </si>
  <si>
    <t>SEGURO SOCIAL(S.S.O)</t>
  </si>
  <si>
    <t>PARA FORZOSO (S.P.F)</t>
  </si>
  <si>
    <t>FONDO DE JUBILACION D.I.</t>
  </si>
  <si>
    <t>CAJA DE AHORROS PROF. - CAPROF</t>
  </si>
  <si>
    <t>PRESTAMO SERVICIOS EXEQUIALES CAPROF</t>
  </si>
  <si>
    <t>PRESTAMO LARGO PLAZO TIPO III CAPROF</t>
  </si>
  <si>
    <t>Modificar si tiene algún préstamo CAPROF</t>
  </si>
  <si>
    <t>ASOCIACION DE PROFESORES A.P.U.L.A.</t>
  </si>
  <si>
    <t>Agregar los descuentos específicos en cada hoja, según sea el caso</t>
  </si>
  <si>
    <t>F.A.P.U.V. - A.P.U.L.A.</t>
  </si>
  <si>
    <t>AMPLIACION COBERTURA HCM I.P.P. - A.P.U.L.A.</t>
  </si>
  <si>
    <t>FONDO DE MONTEPIO I.P.P. - ULA</t>
  </si>
  <si>
    <t>APORTE U.L.A. - C.A.P.R.O.F.</t>
  </si>
  <si>
    <t>APORTE U.L.A.- LEY HABITACIONAL</t>
  </si>
  <si>
    <t>APORTE U.L.A.- FONDO JUBILACION D.I.</t>
  </si>
  <si>
    <t>APORTE U.L.A.- H.C.M. D.I. GRUPO BASICO</t>
  </si>
  <si>
    <t>TOTALES</t>
  </si>
  <si>
    <t>Cobro neto</t>
  </si>
  <si>
    <t>Cesta tickets (mes)</t>
  </si>
  <si>
    <t>Bono Doctoral</t>
  </si>
  <si>
    <t>Aguinaldo</t>
  </si>
  <si>
    <t>Bono Vacacional</t>
  </si>
  <si>
    <t>Bono Navideño</t>
  </si>
  <si>
    <t>INGRESO ESTIMADO</t>
  </si>
  <si>
    <t>Útiles Escolares</t>
  </si>
  <si>
    <t>Ingreso ANUAL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</si>
</sst>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"/>
    <numFmt numFmtId="167" formatCode="0.00%"/>
    <numFmt numFmtId="168" formatCode="0.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K25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H21" activeCellId="0" sqref="H21"/>
    </sheetView>
  </sheetViews>
  <sheetFormatPr defaultRowHeight="15"/>
  <cols>
    <col collapsed="false" hidden="false" max="1" min="1" style="0" width="35.1173469387755"/>
    <col collapsed="false" hidden="false" max="8" min="2" style="0" width="11.5204081632653"/>
    <col collapsed="false" hidden="false" max="9" min="9" style="0" width="15.3724489795918"/>
    <col collapsed="false" hidden="false" max="10" min="10" style="0" width="16.6377551020408"/>
    <col collapsed="false" hidden="false" max="11" min="11" style="0" width="11.5204081632653"/>
    <col collapsed="false" hidden="false" max="1020" min="12" style="1" width="11.5204081632653"/>
    <col collapsed="false" hidden="false" max="1025" min="1021" style="0" width="11.5204081632653"/>
  </cols>
  <sheetData>
    <row r="1" customFormat="false" ht="14.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customFormat="false" ht="14.5" hidden="false" customHeight="true" outlineLevel="0" collapsed="false">
      <c r="A2" s="1" t="s">
        <v>7</v>
      </c>
      <c r="B2" s="1" t="n">
        <v>6568</v>
      </c>
      <c r="C2" s="4" t="n">
        <v>38007.3333333333</v>
      </c>
      <c r="D2" s="4" t="n">
        <f aca="false">C2*1.5</f>
        <v>57011</v>
      </c>
      <c r="E2" s="4" t="n">
        <f aca="false">D2*1.4</f>
        <v>79815.4</v>
      </c>
      <c r="F2" s="4" t="n">
        <f aca="false">E2*1.4</f>
        <v>111741.56</v>
      </c>
      <c r="G2" s="4" t="n">
        <f aca="false">F2*1.4</f>
        <v>156438.184</v>
      </c>
      <c r="H2" s="5"/>
      <c r="I2" s="6" t="n">
        <f aca="false">J2/1.5</f>
        <v>38007.3333333333</v>
      </c>
      <c r="J2" s="4" t="n">
        <v>57011</v>
      </c>
      <c r="K2" s="5"/>
    </row>
    <row r="3" customFormat="false" ht="14.5" hidden="false" customHeight="true" outlineLevel="0" collapsed="false">
      <c r="A3" s="1" t="s">
        <v>8</v>
      </c>
      <c r="B3" s="1" t="n">
        <v>7854</v>
      </c>
      <c r="C3" s="4" t="n">
        <v>45608.6666666667</v>
      </c>
      <c r="D3" s="4" t="n">
        <f aca="false">C3*1.5</f>
        <v>68413</v>
      </c>
      <c r="E3" s="4" t="n">
        <f aca="false">D3*1.4</f>
        <v>95778.2</v>
      </c>
      <c r="F3" s="4" t="n">
        <f aca="false">E3*1.4</f>
        <v>134089.48</v>
      </c>
      <c r="G3" s="4" t="n">
        <f aca="false">F3*1.4</f>
        <v>187725.272</v>
      </c>
      <c r="H3" s="5"/>
      <c r="I3" s="6" t="n">
        <f aca="false">J3/1.5</f>
        <v>45608.6666666667</v>
      </c>
      <c r="J3" s="4" t="n">
        <v>68413</v>
      </c>
      <c r="K3" s="5"/>
    </row>
    <row r="4" customFormat="false" ht="14.5" hidden="false" customHeight="true" outlineLevel="0" collapsed="false">
      <c r="A4" s="1" t="s">
        <v>9</v>
      </c>
      <c r="B4" s="1" t="n">
        <v>7381</v>
      </c>
      <c r="C4" s="4" t="n">
        <v>44848.6666666667</v>
      </c>
      <c r="D4" s="4" t="n">
        <f aca="false">C4*1.5</f>
        <v>67273</v>
      </c>
      <c r="E4" s="4" t="n">
        <f aca="false">D4*1.4</f>
        <v>94182.2</v>
      </c>
      <c r="F4" s="4" t="n">
        <f aca="false">E4*1.4</f>
        <v>131855.08</v>
      </c>
      <c r="G4" s="4" t="n">
        <f aca="false">F4*1.4</f>
        <v>184597.112</v>
      </c>
      <c r="H4" s="5"/>
      <c r="I4" s="6" t="n">
        <f aca="false">J4/1.5</f>
        <v>44848.6666666667</v>
      </c>
      <c r="J4" s="4" t="n">
        <v>67273</v>
      </c>
      <c r="K4" s="5"/>
    </row>
    <row r="5" customFormat="false" ht="14.5" hidden="false" customHeight="true" outlineLevel="0" collapsed="false">
      <c r="A5" s="1" t="s">
        <v>10</v>
      </c>
      <c r="B5" s="1" t="n">
        <v>9182</v>
      </c>
      <c r="C5" s="4" t="n">
        <v>54730.6666666667</v>
      </c>
      <c r="D5" s="4" t="n">
        <f aca="false">C5*1.5</f>
        <v>82096</v>
      </c>
      <c r="E5" s="4" t="n">
        <f aca="false">D5*1.4</f>
        <v>114934.4</v>
      </c>
      <c r="F5" s="4" t="n">
        <f aca="false">E5*1.4</f>
        <v>160908.16</v>
      </c>
      <c r="G5" s="4" t="n">
        <f aca="false">F5*1.4</f>
        <v>225271.424</v>
      </c>
      <c r="H5" s="5"/>
      <c r="I5" s="6" t="n">
        <f aca="false">J5/1.5</f>
        <v>54730.6666666667</v>
      </c>
      <c r="J5" s="4" t="n">
        <v>82096</v>
      </c>
      <c r="K5" s="5"/>
    </row>
    <row r="6" customFormat="false" ht="14.5" hidden="false" customHeight="true" outlineLevel="0" collapsed="false">
      <c r="A6" s="1" t="s">
        <v>11</v>
      </c>
      <c r="B6" s="1" t="n">
        <v>8150</v>
      </c>
      <c r="C6" s="4" t="n">
        <v>52921.3333333333</v>
      </c>
      <c r="D6" s="4" t="n">
        <f aca="false">C6*1.5</f>
        <v>79382</v>
      </c>
      <c r="E6" s="4" t="n">
        <f aca="false">D6*1.4</f>
        <v>111134.8</v>
      </c>
      <c r="F6" s="4" t="n">
        <f aca="false">E6*1.4</f>
        <v>155588.72</v>
      </c>
      <c r="G6" s="4" t="n">
        <f aca="false">F6*1.4</f>
        <v>217824.208</v>
      </c>
      <c r="H6" s="5"/>
      <c r="I6" s="6" t="n">
        <f aca="false">J6/1.5</f>
        <v>52921.3333333333</v>
      </c>
      <c r="J6" s="4" t="n">
        <v>79382</v>
      </c>
      <c r="K6" s="5"/>
    </row>
    <row r="7" customFormat="false" ht="14.5" hidden="false" customHeight="true" outlineLevel="0" collapsed="false">
      <c r="A7" s="1" t="s">
        <v>12</v>
      </c>
      <c r="B7" s="1" t="n">
        <v>10613</v>
      </c>
      <c r="C7" s="4" t="n">
        <v>65676.6666666667</v>
      </c>
      <c r="D7" s="4" t="n">
        <f aca="false">C7*1.5</f>
        <v>98515</v>
      </c>
      <c r="E7" s="4" t="n">
        <f aca="false">D7*1.4</f>
        <v>137921</v>
      </c>
      <c r="F7" s="4" t="n">
        <f aca="false">E7*1.4</f>
        <v>193089.4</v>
      </c>
      <c r="G7" s="4" t="n">
        <f aca="false">F7*1.4</f>
        <v>270325.16</v>
      </c>
      <c r="H7" s="5"/>
      <c r="I7" s="6" t="n">
        <f aca="false">J7/1.5</f>
        <v>65676.6666666667</v>
      </c>
      <c r="J7" s="4" t="n">
        <v>98515</v>
      </c>
      <c r="K7" s="5"/>
    </row>
    <row r="8" customFormat="false" ht="14.5" hidden="false" customHeight="true" outlineLevel="0" collapsed="false">
      <c r="A8" s="1" t="s">
        <v>13</v>
      </c>
      <c r="B8" s="1" t="n">
        <v>9279</v>
      </c>
      <c r="C8" s="4" t="n">
        <v>62447.3333333333</v>
      </c>
      <c r="D8" s="4" t="n">
        <f aca="false">C8*1.5</f>
        <v>93671</v>
      </c>
      <c r="E8" s="4" t="n">
        <f aca="false">D8*1.4</f>
        <v>131139.4</v>
      </c>
      <c r="F8" s="4" t="n">
        <f aca="false">E8*1.4</f>
        <v>183595.16</v>
      </c>
      <c r="G8" s="4" t="n">
        <f aca="false">F8*1.4</f>
        <v>257033.224</v>
      </c>
      <c r="H8" s="5"/>
      <c r="I8" s="6" t="n">
        <f aca="false">J8/1.5</f>
        <v>62447.3333333333</v>
      </c>
      <c r="J8" s="4" t="n">
        <v>93671</v>
      </c>
      <c r="K8" s="5"/>
    </row>
    <row r="9" customFormat="false" ht="14.5" hidden="false" customHeight="true" outlineLevel="0" collapsed="false">
      <c r="A9" s="1" t="s">
        <v>14</v>
      </c>
      <c r="B9" s="1" t="n">
        <v>12723</v>
      </c>
      <c r="C9" s="4" t="n">
        <v>78812</v>
      </c>
      <c r="D9" s="4" t="n">
        <f aca="false">C9*1.5</f>
        <v>118218</v>
      </c>
      <c r="E9" s="4" t="n">
        <f aca="false">D9*1.4</f>
        <v>165505.2</v>
      </c>
      <c r="F9" s="4" t="n">
        <f aca="false">E9*1.4</f>
        <v>231707.28</v>
      </c>
      <c r="G9" s="4" t="n">
        <f aca="false">F9*1.4</f>
        <v>324390.192</v>
      </c>
      <c r="H9" s="5"/>
      <c r="I9" s="6" t="n">
        <f aca="false">J9/1.5</f>
        <v>78812</v>
      </c>
      <c r="J9" s="4" t="n">
        <v>118218</v>
      </c>
      <c r="K9" s="5"/>
    </row>
    <row r="10" customFormat="false" ht="14.5" hidden="false" customHeight="true" outlineLevel="0" collapsed="false">
      <c r="A10" s="1" t="s">
        <v>15</v>
      </c>
      <c r="B10" s="1" t="n">
        <v>10635</v>
      </c>
      <c r="C10" s="4" t="n">
        <v>73687.3333333333</v>
      </c>
      <c r="D10" s="4" t="n">
        <f aca="false">C10*1.5</f>
        <v>110531</v>
      </c>
      <c r="E10" s="4" t="n">
        <f aca="false">D10*1.4</f>
        <v>154743.4</v>
      </c>
      <c r="F10" s="4" t="n">
        <f aca="false">E10*1.4</f>
        <v>216640.76</v>
      </c>
      <c r="G10" s="4" t="n">
        <f aca="false">F10*1.4</f>
        <v>303297.064</v>
      </c>
      <c r="H10" s="5"/>
      <c r="I10" s="6" t="n">
        <f aca="false">J10/1.5</f>
        <v>73687.3333333333</v>
      </c>
      <c r="J10" s="4" t="n">
        <v>110531</v>
      </c>
      <c r="K10" s="5"/>
    </row>
    <row r="11" customFormat="false" ht="14.5" hidden="false" customHeight="true" outlineLevel="0" collapsed="false">
      <c r="A11" s="1" t="s">
        <v>16</v>
      </c>
      <c r="B11" s="1" t="n">
        <v>15297</v>
      </c>
      <c r="C11" s="4" t="n">
        <v>94574</v>
      </c>
      <c r="D11" s="4" t="n">
        <f aca="false">C11*1.5</f>
        <v>141861</v>
      </c>
      <c r="E11" s="4" t="n">
        <f aca="false">D11*1.4</f>
        <v>198605.4</v>
      </c>
      <c r="F11" s="4" t="n">
        <f aca="false">E11*1.4</f>
        <v>278047.56</v>
      </c>
      <c r="G11" s="4" t="n">
        <f aca="false">F11*1.4</f>
        <v>389266.584</v>
      </c>
      <c r="H11" s="5"/>
      <c r="I11" s="6" t="n">
        <f aca="false">J11/1.5</f>
        <v>94574</v>
      </c>
      <c r="J11" s="4" t="n">
        <v>141861</v>
      </c>
      <c r="K11" s="5"/>
    </row>
    <row r="13" customFormat="false" ht="14.5" hidden="false" customHeight="true" outlineLevel="0" collapsed="false">
      <c r="A13" s="1" t="s">
        <v>17</v>
      </c>
      <c r="B13" s="1" t="n">
        <v>360</v>
      </c>
      <c r="C13" s="1"/>
      <c r="D13" s="4" t="n">
        <f aca="false">B13*+1.5</f>
        <v>540</v>
      </c>
      <c r="E13" s="4" t="n">
        <f aca="false">D13*1.4</f>
        <v>756</v>
      </c>
      <c r="F13" s="4" t="n">
        <f aca="false">E13*1.4</f>
        <v>1058.4</v>
      </c>
      <c r="G13" s="4" t="n">
        <f aca="false">F13*1.4</f>
        <v>1481.76</v>
      </c>
      <c r="H13" s="5"/>
      <c r="I13" s="5"/>
      <c r="J13" s="5"/>
      <c r="K13" s="5"/>
    </row>
    <row r="14" customFormat="false" ht="14.5" hidden="false" customHeight="true" outlineLevel="0" collapsed="false">
      <c r="A14" s="1" t="s">
        <v>18</v>
      </c>
      <c r="B14" s="1" t="n">
        <v>620</v>
      </c>
      <c r="C14" s="1"/>
      <c r="D14" s="4" t="n">
        <f aca="false">B14*+1.5</f>
        <v>930</v>
      </c>
      <c r="E14" s="4" t="n">
        <f aca="false">D14*1.4</f>
        <v>1302</v>
      </c>
      <c r="F14" s="4" t="n">
        <f aca="false">E14*1.4</f>
        <v>1822.8</v>
      </c>
      <c r="G14" s="4" t="n">
        <f aca="false">F14*1.4</f>
        <v>2551.92</v>
      </c>
      <c r="H14" s="5"/>
      <c r="I14" s="5"/>
      <c r="J14" s="5"/>
      <c r="K14" s="5"/>
    </row>
    <row r="15" customFormat="false" ht="14.5" hidden="false" customHeight="true" outlineLevel="0" collapsed="false">
      <c r="A15" s="1" t="s">
        <v>19</v>
      </c>
      <c r="B15" s="1" t="n">
        <v>200</v>
      </c>
      <c r="C15" s="1"/>
      <c r="D15" s="4" t="n">
        <f aca="false">B15*+1.5</f>
        <v>300</v>
      </c>
      <c r="E15" s="4" t="n">
        <f aca="false">D15*1.4</f>
        <v>420</v>
      </c>
      <c r="F15" s="4" t="n">
        <f aca="false">E15*1.4</f>
        <v>588</v>
      </c>
      <c r="G15" s="4" t="n">
        <f aca="false">F15*1.4</f>
        <v>823.2</v>
      </c>
      <c r="H15" s="5"/>
      <c r="I15" s="5"/>
      <c r="J15" s="5"/>
      <c r="K15" s="5"/>
    </row>
    <row r="16" customFormat="false" ht="14.5" hidden="false" customHeight="true" outlineLevel="0" collapsed="false">
      <c r="A16" s="1" t="s">
        <v>20</v>
      </c>
      <c r="B16" s="1" t="n">
        <v>375</v>
      </c>
      <c r="C16" s="1"/>
      <c r="D16" s="4" t="n">
        <f aca="false">B16*+1.5</f>
        <v>562.5</v>
      </c>
      <c r="E16" s="4" t="n">
        <f aca="false">D16*1.4</f>
        <v>787.5</v>
      </c>
      <c r="F16" s="4" t="n">
        <f aca="false">E16*1.4</f>
        <v>1102.5</v>
      </c>
      <c r="G16" s="4" t="n">
        <f aca="false">F16*1.4</f>
        <v>1543.5</v>
      </c>
      <c r="H16" s="5"/>
      <c r="I16" s="5"/>
      <c r="J16" s="5"/>
      <c r="K16" s="5"/>
    </row>
    <row r="17" customFormat="false" ht="14.5" hidden="false" customHeight="true" outlineLevel="0" collapsed="false">
      <c r="A17" s="1" t="s">
        <v>21</v>
      </c>
      <c r="B17" s="1" t="n">
        <v>650</v>
      </c>
      <c r="C17" s="1"/>
      <c r="D17" s="4" t="n">
        <f aca="false">B17*+1.5</f>
        <v>975</v>
      </c>
      <c r="E17" s="4" t="n">
        <f aca="false">D17*1.4</f>
        <v>1365</v>
      </c>
      <c r="F17" s="4" t="n">
        <f aca="false">E17*1.4</f>
        <v>1911</v>
      </c>
      <c r="G17" s="4" t="n">
        <f aca="false">F17*1.4</f>
        <v>2675.4</v>
      </c>
      <c r="H17" s="5"/>
      <c r="I17" s="5"/>
      <c r="J17" s="5"/>
      <c r="K17" s="5"/>
    </row>
    <row r="19" customFormat="false" ht="14.5" hidden="false" customHeight="true" outlineLevel="0" collapsed="false">
      <c r="A19" s="1" t="s">
        <v>22</v>
      </c>
      <c r="B19" s="1" t="n">
        <v>45</v>
      </c>
      <c r="C19" s="1"/>
      <c r="D19" s="1" t="n">
        <v>45</v>
      </c>
      <c r="E19" s="1" t="n">
        <v>45</v>
      </c>
      <c r="F19" s="1" t="n">
        <v>45</v>
      </c>
      <c r="G19" s="1" t="n">
        <v>45</v>
      </c>
    </row>
    <row r="20" customFormat="false" ht="14.5" hidden="false" customHeight="true" outlineLevel="0" collapsed="false">
      <c r="A20" s="1" t="s">
        <v>23</v>
      </c>
      <c r="B20" s="1" t="n">
        <v>2200</v>
      </c>
      <c r="C20" s="1"/>
      <c r="D20" s="4" t="n">
        <f aca="false">B20*1.4*1.5</f>
        <v>4620</v>
      </c>
      <c r="E20" s="4" t="n">
        <f aca="false">D20</f>
        <v>4620</v>
      </c>
      <c r="F20" s="4" t="n">
        <f aca="false">E20*1.4*1.4</f>
        <v>9055.2</v>
      </c>
      <c r="G20" s="4" t="n">
        <f aca="false">F20</f>
        <v>9055.2</v>
      </c>
    </row>
    <row r="21" customFormat="false" ht="14.5" hidden="false" customHeight="true" outlineLevel="0" collapsed="false">
      <c r="A21" s="1" t="s">
        <v>24</v>
      </c>
      <c r="B21" s="1" t="n">
        <v>1800</v>
      </c>
      <c r="C21" s="1"/>
      <c r="D21" s="4" t="n">
        <f aca="false">B21*1.4*1.5</f>
        <v>3780</v>
      </c>
      <c r="E21" s="4" t="n">
        <f aca="false">D21</f>
        <v>3780</v>
      </c>
      <c r="F21" s="4" t="n">
        <f aca="false">E21*1.4*1.4</f>
        <v>7408.8</v>
      </c>
      <c r="G21" s="4" t="n">
        <f aca="false">F21</f>
        <v>7408.8</v>
      </c>
    </row>
    <row r="22" customFormat="false" ht="14.5" hidden="false" customHeight="true" outlineLevel="0" collapsed="false">
      <c r="A22" s="1" t="s">
        <v>25</v>
      </c>
      <c r="B22" s="1" t="n">
        <v>1800</v>
      </c>
      <c r="C22" s="1"/>
      <c r="D22" s="4" t="n">
        <f aca="false">B22*+1.5</f>
        <v>2700</v>
      </c>
      <c r="E22" s="4" t="n">
        <f aca="false">D22*1.4</f>
        <v>3780</v>
      </c>
      <c r="F22" s="4" t="n">
        <f aca="false">E22*1.4</f>
        <v>5292</v>
      </c>
      <c r="G22" s="4" t="n">
        <f aca="false">F22*1.4</f>
        <v>7408.8</v>
      </c>
    </row>
    <row r="23" customFormat="false" ht="14.5" hidden="false" customHeight="true" outlineLevel="0" collapsed="false">
      <c r="A23" s="1" t="s">
        <v>26</v>
      </c>
      <c r="B23" s="1" t="n">
        <v>30</v>
      </c>
      <c r="C23" s="1"/>
      <c r="D23" s="1" t="n">
        <v>30</v>
      </c>
      <c r="E23" s="1" t="n">
        <v>30</v>
      </c>
      <c r="F23" s="1" t="n">
        <v>30</v>
      </c>
      <c r="G23" s="1" t="n">
        <v>30</v>
      </c>
    </row>
    <row r="25" customFormat="false" ht="14.5" hidden="false" customHeight="true" outlineLevel="0" collapsed="false">
      <c r="A25" s="1" t="s">
        <v>27</v>
      </c>
      <c r="B25" s="1" t="n">
        <v>127</v>
      </c>
      <c r="C25" s="1"/>
      <c r="D25" s="1" t="n">
        <v>150</v>
      </c>
      <c r="E25" s="1" t="n">
        <v>150</v>
      </c>
      <c r="F25" s="1" t="n">
        <v>150</v>
      </c>
      <c r="G25" s="1" t="n">
        <v>150</v>
      </c>
      <c r="H25" s="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K3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1" activeCellId="0" sqref="B21"/>
    </sheetView>
  </sheetViews>
  <sheetFormatPr defaultRowHeight="12.75"/>
  <cols>
    <col collapsed="false" hidden="false" max="1" min="1" style="0" width="32.1530612244898"/>
    <col collapsed="false" hidden="false" max="2" min="2" style="0" width="43.1530612244898"/>
    <col collapsed="false" hidden="false" max="11" min="3" style="0" width="11.5204081632653"/>
    <col collapsed="false" hidden="false" max="1025" min="12" style="1" width="11.5204081632653"/>
  </cols>
  <sheetData>
    <row r="1" customFormat="false" ht="14.5" hidden="false" customHeight="true" outlineLevel="0" collapsed="false">
      <c r="A1" s="2" t="s">
        <v>0</v>
      </c>
      <c r="B1" s="2" t="s">
        <v>28</v>
      </c>
      <c r="C1" s="2"/>
      <c r="D1" s="3"/>
      <c r="E1" s="2"/>
    </row>
    <row r="2" customFormat="false" ht="14.5" hidden="false" customHeight="true" outlineLevel="0" collapsed="false">
      <c r="A2" s="1" t="s">
        <v>7</v>
      </c>
      <c r="B2" s="7"/>
    </row>
    <row r="3" customFormat="false" ht="14.5" hidden="false" customHeight="true" outlineLevel="0" collapsed="false">
      <c r="A3" s="1" t="s">
        <v>8</v>
      </c>
      <c r="B3" s="7"/>
    </row>
    <row r="4" customFormat="false" ht="14.5" hidden="false" customHeight="true" outlineLevel="0" collapsed="false">
      <c r="A4" s="1" t="s">
        <v>9</v>
      </c>
      <c r="B4" s="7"/>
    </row>
    <row r="5" customFormat="false" ht="14.5" hidden="false" customHeight="true" outlineLevel="0" collapsed="false">
      <c r="A5" s="1" t="s">
        <v>10</v>
      </c>
      <c r="B5" s="7"/>
    </row>
    <row r="6" customFormat="false" ht="14.5" hidden="false" customHeight="true" outlineLevel="0" collapsed="false">
      <c r="A6" s="1" t="s">
        <v>11</v>
      </c>
      <c r="B6" s="7"/>
    </row>
    <row r="7" customFormat="false" ht="14.5" hidden="false" customHeight="true" outlineLevel="0" collapsed="false">
      <c r="A7" s="1" t="s">
        <v>12</v>
      </c>
      <c r="B7" s="7"/>
    </row>
    <row r="8" customFormat="false" ht="14.5" hidden="false" customHeight="true" outlineLevel="0" collapsed="false">
      <c r="A8" s="1" t="s">
        <v>13</v>
      </c>
      <c r="B8" s="7"/>
    </row>
    <row r="9" customFormat="false" ht="14.5" hidden="false" customHeight="true" outlineLevel="0" collapsed="false">
      <c r="A9" s="1" t="s">
        <v>14</v>
      </c>
      <c r="B9" s="7"/>
    </row>
    <row r="10" customFormat="false" ht="14.5" hidden="false" customHeight="true" outlineLevel="0" collapsed="false">
      <c r="A10" s="1" t="s">
        <v>15</v>
      </c>
      <c r="B10" s="7"/>
    </row>
    <row r="11" customFormat="false" ht="14.5" hidden="false" customHeight="true" outlineLevel="0" collapsed="false">
      <c r="A11" s="1" t="s">
        <v>16</v>
      </c>
      <c r="B11" s="7" t="s">
        <v>29</v>
      </c>
    </row>
    <row r="12" customFormat="false" ht="14.5" hidden="false" customHeight="true" outlineLevel="0" collapsed="false">
      <c r="A12" s="1"/>
      <c r="B12" s="7"/>
    </row>
    <row r="13" customFormat="false" ht="14.5" hidden="false" customHeight="true" outlineLevel="0" collapsed="false">
      <c r="A13" s="1" t="s">
        <v>30</v>
      </c>
      <c r="B13" s="7" t="s">
        <v>31</v>
      </c>
      <c r="C13" s="2" t="s">
        <v>32</v>
      </c>
    </row>
    <row r="14" customFormat="false" ht="14.5" hidden="false" customHeight="true" outlineLevel="0" collapsed="false">
      <c r="B14" s="8"/>
    </row>
    <row r="15" customFormat="false" ht="14.5" hidden="false" customHeight="true" outlineLevel="0" collapsed="false">
      <c r="A15" s="1" t="s">
        <v>33</v>
      </c>
      <c r="B15" s="8" t="n">
        <v>2</v>
      </c>
      <c r="C15" s="2" t="s">
        <v>34</v>
      </c>
      <c r="D15" s="2"/>
      <c r="E15" s="2"/>
      <c r="F15" s="2"/>
      <c r="G15" s="2"/>
      <c r="H15" s="2"/>
      <c r="I15" s="2"/>
      <c r="J15" s="2"/>
      <c r="K15" s="2"/>
    </row>
    <row r="16" customFormat="false" ht="14.5" hidden="false" customHeight="true" outlineLevel="0" collapsed="false">
      <c r="A16" s="1" t="s">
        <v>35</v>
      </c>
      <c r="B16" s="8" t="n">
        <v>5</v>
      </c>
      <c r="C16" s="2" t="s">
        <v>36</v>
      </c>
      <c r="D16" s="2"/>
      <c r="E16" s="2"/>
      <c r="F16" s="2"/>
      <c r="G16" s="2"/>
      <c r="H16" s="2"/>
      <c r="I16" s="2"/>
      <c r="J16" s="2"/>
      <c r="K16" s="2"/>
    </row>
    <row r="17" customFormat="false" ht="14.5" hidden="false" customHeight="true" outlineLevel="0" collapsed="false">
      <c r="A17" s="1" t="s">
        <v>37</v>
      </c>
      <c r="B17" s="8" t="s">
        <v>38</v>
      </c>
    </row>
    <row r="18" customFormat="false" ht="12.75" hidden="false" customHeight="true" outlineLevel="0" collapsed="false">
      <c r="A18" s="1" t="s">
        <v>39</v>
      </c>
      <c r="B18" s="8" t="n">
        <v>0</v>
      </c>
      <c r="C18" s="2" t="s">
        <v>40</v>
      </c>
    </row>
    <row r="19" customFormat="false" ht="12.75" hidden="false" customHeight="true" outlineLevel="0" collapsed="false">
      <c r="A19" s="1" t="s">
        <v>41</v>
      </c>
      <c r="B19" s="8" t="n">
        <v>1</v>
      </c>
      <c r="C19" s="2" t="s">
        <v>42</v>
      </c>
    </row>
    <row r="33" customFormat="false" ht="15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B1:J41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E18" activeCellId="0" sqref="E18"/>
    </sheetView>
  </sheetViews>
  <sheetFormatPr defaultRowHeight="15"/>
  <cols>
    <col collapsed="false" hidden="false" max="1" min="1" style="1" width="11.5204081632653"/>
    <col collapsed="false" hidden="false" max="2" min="2" style="1" width="54.5816326530612"/>
    <col collapsed="false" hidden="false" max="3" min="3" style="1" width="14.234693877551"/>
    <col collapsed="false" hidden="false" max="4" min="4" style="1" width="21.1479591836735"/>
    <col collapsed="false" hidden="false" max="5" min="5" style="1" width="14.6581632653061"/>
    <col collapsed="false" hidden="false" max="1025" min="6" style="1" width="11.5204081632653"/>
  </cols>
  <sheetData>
    <row r="1" s="8" customFormat="true" ht="14.5" hidden="false" customHeight="true" outlineLevel="0" collapsed="false">
      <c r="B1" s="8" t="s">
        <v>43</v>
      </c>
      <c r="C1" s="8" t="s">
        <v>44</v>
      </c>
      <c r="D1" s="9" t="s">
        <v>45</v>
      </c>
      <c r="E1" s="8" t="s">
        <v>46</v>
      </c>
      <c r="G1" s="9"/>
    </row>
    <row r="2" customFormat="false" ht="14.5" hidden="false" customHeight="true" outlineLevel="0" collapsed="false">
      <c r="B2" s="1" t="s">
        <v>47</v>
      </c>
      <c r="C2" s="6" t="n">
        <f aca="false">IF(OR(Datos!B2="x",Datos!B2="X"),'Tablas de Sueldos'!B2, IF(OR(Datos!B3="x",Datos!B3="X"),'Tablas de Sueldos'!B3, IF(OR(Datos!B4="x",Datos!B4="X"),'Tablas de Sueldos'!B4, IF(OR(Datos!B5="x",Datos!B5="X"),'Tablas de Sueldos'!B5, IF(OR(Datos!B6="x",Datos!B6="X"),'Tablas de Sueldos'!B6, IF(OR(Datos!B7="x",Datos!B7="X"),'Tablas de Sueldos'!B7, IF(OR(Datos!B8="x",Datos!B8="X"),'Tablas de Sueldos'!B8, IF(OR(Datos!B9="x",Datos!B9="X"),'Tablas de Sueldos'!B9, IF(OR(Datos!B10="x",Datos!B10="X"),'Tablas de Sueldos'!B10, IF(OR(Datos!B11="x",Datos!B11="X"),'Tablas de Sueldos'!B11,0 ))))))))))</f>
        <v>15297</v>
      </c>
      <c r="D2" s="0"/>
      <c r="E2" s="0"/>
      <c r="G2" s="0"/>
      <c r="H2" s="0"/>
      <c r="I2" s="0"/>
      <c r="J2" s="0"/>
    </row>
    <row r="3" customFormat="false" ht="14.5" hidden="false" customHeight="true" outlineLevel="0" collapsed="false">
      <c r="B3" s="1" t="s">
        <v>48</v>
      </c>
      <c r="C3" s="10" t="n">
        <f aca="false">'Tablas de Sueldos'!B15*Datos!B16</f>
        <v>1000</v>
      </c>
      <c r="D3" s="0"/>
      <c r="E3" s="0"/>
      <c r="G3" s="0"/>
      <c r="H3" s="0"/>
      <c r="I3" s="0"/>
      <c r="J3" s="0"/>
    </row>
    <row r="4" customFormat="false" ht="14.5" hidden="false" customHeight="true" outlineLevel="0" collapsed="false">
      <c r="B4" s="1" t="s">
        <v>49</v>
      </c>
      <c r="C4" s="1" t="n">
        <f aca="false">'Tablas de Sueldos'!B14</f>
        <v>620</v>
      </c>
      <c r="D4" s="0"/>
      <c r="E4" s="0"/>
      <c r="G4" s="0"/>
      <c r="H4" s="0"/>
      <c r="I4" s="6"/>
      <c r="J4" s="0"/>
    </row>
    <row r="5" customFormat="false" ht="14.5" hidden="false" customHeight="true" outlineLevel="0" collapsed="false">
      <c r="B5" s="1" t="s">
        <v>50</v>
      </c>
      <c r="C5" s="1" t="n">
        <f aca="false">IF(Datos!B15&gt;5,5,Datos!B15)*'Tablas de Sueldos'!B13</f>
        <v>720</v>
      </c>
      <c r="D5" s="0"/>
      <c r="E5" s="0"/>
      <c r="G5" s="0"/>
      <c r="H5" s="0"/>
      <c r="I5" s="6"/>
      <c r="J5" s="0"/>
    </row>
    <row r="6" customFormat="false" ht="14.5" hidden="false" customHeight="true" outlineLevel="0" collapsed="false">
      <c r="B6" s="1" t="s">
        <v>51</v>
      </c>
      <c r="C6" s="1" t="n">
        <f aca="false">Datos!B15*'Tablas de Sueldos'!B16</f>
        <v>750</v>
      </c>
      <c r="D6" s="0"/>
      <c r="E6" s="0"/>
      <c r="G6" s="0"/>
      <c r="H6" s="0"/>
      <c r="I6" s="0"/>
      <c r="J6" s="0"/>
    </row>
    <row r="7" customFormat="false" ht="14.5" hidden="false" customHeight="true" outlineLevel="0" collapsed="false">
      <c r="B7" s="1" t="s">
        <v>52</v>
      </c>
      <c r="C7" s="1" t="n">
        <f aca="false">'Tablas de Sueldos'!B17</f>
        <v>650</v>
      </c>
      <c r="D7" s="0"/>
      <c r="E7" s="0"/>
      <c r="G7" s="0"/>
      <c r="H7" s="0"/>
      <c r="I7" s="6"/>
      <c r="J7" s="0"/>
    </row>
    <row r="8" customFormat="false" ht="14.5" hidden="false" customHeight="true" outlineLevel="0" collapsed="false">
      <c r="B8" s="1" t="s">
        <v>53</v>
      </c>
      <c r="C8" s="1" t="n">
        <f aca="false">Datos!B18*'Tablas de Sueldos'!B22</f>
        <v>0</v>
      </c>
      <c r="D8" s="0"/>
      <c r="E8" s="0"/>
      <c r="G8" s="0"/>
      <c r="H8" s="0"/>
      <c r="I8" s="6"/>
      <c r="J8" s="0"/>
    </row>
    <row r="9" customFormat="false" ht="14.5" hidden="false" customHeight="true" outlineLevel="0" collapsed="false">
      <c r="B9" s="1" t="s">
        <v>54</v>
      </c>
      <c r="C9" s="0"/>
      <c r="D9" s="6" t="n">
        <f aca="false">Datos!B13/100*C27</f>
        <v>694.8505</v>
      </c>
      <c r="E9" s="0"/>
      <c r="G9" s="0"/>
      <c r="H9" s="11"/>
      <c r="I9" s="0"/>
      <c r="J9" s="0"/>
    </row>
    <row r="10" customFormat="false" ht="14.5" hidden="false" customHeight="true" outlineLevel="0" collapsed="false">
      <c r="B10" s="1" t="s">
        <v>55</v>
      </c>
      <c r="C10" s="0"/>
      <c r="D10" s="6" t="n">
        <v>0.51</v>
      </c>
      <c r="E10" s="0"/>
      <c r="G10" s="0"/>
      <c r="H10" s="11"/>
      <c r="I10" s="6"/>
      <c r="J10" s="0"/>
    </row>
    <row r="11" customFormat="false" ht="14.5" hidden="false" customHeight="true" outlineLevel="0" collapsed="false">
      <c r="B11" s="1" t="s">
        <v>56</v>
      </c>
      <c r="C11" s="0"/>
      <c r="D11" s="6" t="n">
        <f aca="false">((C2+C3)*0.0175)</f>
        <v>285.1975</v>
      </c>
      <c r="E11" s="0"/>
      <c r="G11" s="0"/>
      <c r="H11" s="11"/>
      <c r="I11" s="6"/>
      <c r="J11" s="6"/>
    </row>
    <row r="12" customFormat="false" ht="14.5" hidden="false" customHeight="true" outlineLevel="0" collapsed="false">
      <c r="B12" s="1" t="s">
        <v>57</v>
      </c>
      <c r="C12" s="0"/>
      <c r="D12" s="6" t="n">
        <f aca="false">(C2+C3+C4+C5+C7)*0.01</f>
        <v>182.87</v>
      </c>
      <c r="E12" s="0"/>
      <c r="G12" s="0"/>
      <c r="H12" s="11"/>
      <c r="I12" s="6"/>
    </row>
    <row r="13" customFormat="false" ht="14.5" hidden="false" customHeight="true" outlineLevel="0" collapsed="false">
      <c r="B13" s="1" t="s">
        <v>58</v>
      </c>
      <c r="C13" s="0"/>
      <c r="D13" s="6" t="n">
        <f aca="false">(C2+C3)*0.04</f>
        <v>651.88</v>
      </c>
      <c r="E13" s="0"/>
      <c r="G13" s="0"/>
      <c r="H13" s="11"/>
      <c r="I13" s="6"/>
    </row>
    <row r="14" customFormat="false" ht="14.5" hidden="false" customHeight="true" outlineLevel="0" collapsed="false">
      <c r="B14" s="1" t="s">
        <v>59</v>
      </c>
      <c r="C14" s="0"/>
      <c r="D14" s="6" t="n">
        <f aca="false">(C2+C3)*0.005</f>
        <v>81.485</v>
      </c>
      <c r="E14" s="0"/>
      <c r="G14" s="0"/>
      <c r="H14" s="11"/>
      <c r="I14" s="6"/>
    </row>
    <row r="15" customFormat="false" ht="14.5" hidden="false" customHeight="true" outlineLevel="0" collapsed="false">
      <c r="B15" s="1" t="s">
        <v>60</v>
      </c>
      <c r="C15" s="0"/>
      <c r="D15" s="6" t="n">
        <f aca="false">(C2+C3)*0.06</f>
        <v>977.82</v>
      </c>
      <c r="E15" s="0"/>
      <c r="G15" s="0"/>
      <c r="H15" s="11"/>
      <c r="I15" s="6"/>
    </row>
    <row r="16" customFormat="false" ht="14.5" hidden="false" customHeight="true" outlineLevel="0" collapsed="false">
      <c r="B16" s="1" t="s">
        <v>61</v>
      </c>
      <c r="C16" s="0"/>
      <c r="D16" s="6" t="n">
        <f aca="false">(C2+C3)*0.1</f>
        <v>1629.7</v>
      </c>
      <c r="E16" s="0"/>
      <c r="G16" s="0"/>
      <c r="H16" s="11"/>
      <c r="I16" s="6"/>
    </row>
    <row r="17" customFormat="false" ht="14.5" hidden="false" customHeight="true" outlineLevel="0" collapsed="false">
      <c r="B17" s="1" t="s">
        <v>62</v>
      </c>
      <c r="C17" s="0"/>
      <c r="D17" s="6" t="n">
        <v>237.28</v>
      </c>
      <c r="E17" s="0"/>
      <c r="G17" s="0"/>
      <c r="H17" s="12"/>
      <c r="I17" s="6"/>
    </row>
    <row r="18" customFormat="false" ht="14.5" hidden="false" customHeight="true" outlineLevel="0" collapsed="false">
      <c r="B18" s="1" t="s">
        <v>63</v>
      </c>
      <c r="C18" s="0"/>
      <c r="D18" s="6" t="n">
        <v>760.98</v>
      </c>
      <c r="E18" s="2" t="s">
        <v>64</v>
      </c>
      <c r="G18" s="0"/>
      <c r="H18" s="12"/>
      <c r="I18" s="6"/>
    </row>
    <row r="19" customFormat="false" ht="14.5" hidden="false" customHeight="true" outlineLevel="0" collapsed="false">
      <c r="B19" s="1" t="s">
        <v>65</v>
      </c>
      <c r="C19" s="0"/>
      <c r="D19" s="6" t="n">
        <f aca="false">(C2+C3)*0.015</f>
        <v>244.455</v>
      </c>
      <c r="E19" s="2" t="s">
        <v>66</v>
      </c>
      <c r="G19" s="0"/>
      <c r="H19" s="12"/>
      <c r="I19" s="6"/>
    </row>
    <row r="20" customFormat="false" ht="14.5" hidden="false" customHeight="true" outlineLevel="0" collapsed="false">
      <c r="B20" s="1" t="s">
        <v>67</v>
      </c>
      <c r="C20" s="0"/>
      <c r="D20" s="6" t="n">
        <v>10.61</v>
      </c>
      <c r="E20" s="0"/>
      <c r="G20" s="0"/>
      <c r="H20" s="12"/>
      <c r="I20" s="6"/>
    </row>
    <row r="21" customFormat="false" ht="14.5" hidden="false" customHeight="true" outlineLevel="0" collapsed="false">
      <c r="B21" s="1" t="s">
        <v>68</v>
      </c>
      <c r="C21" s="0"/>
      <c r="D21" s="6" t="n">
        <v>500</v>
      </c>
      <c r="E21" s="0"/>
      <c r="G21" s="0"/>
      <c r="H21" s="12"/>
      <c r="I21" s="6"/>
    </row>
    <row r="22" customFormat="false" ht="14.5" hidden="false" customHeight="true" outlineLevel="0" collapsed="false">
      <c r="B22" s="1" t="s">
        <v>69</v>
      </c>
      <c r="C22" s="0"/>
      <c r="D22" s="6" t="n">
        <v>26.53</v>
      </c>
      <c r="E22" s="0"/>
      <c r="G22" s="0"/>
      <c r="H22" s="12"/>
      <c r="I22" s="6"/>
    </row>
    <row r="23" customFormat="false" ht="14.5" hidden="false" customHeight="true" outlineLevel="0" collapsed="false">
      <c r="B23" s="1" t="s">
        <v>70</v>
      </c>
      <c r="C23" s="0"/>
      <c r="D23" s="0"/>
      <c r="E23" s="6" t="n">
        <f aca="false">(C2+C3)*0.1</f>
        <v>1629.7</v>
      </c>
      <c r="G23" s="0"/>
      <c r="H23" s="12"/>
    </row>
    <row r="24" customFormat="false" ht="14.5" hidden="false" customHeight="true" outlineLevel="0" collapsed="false">
      <c r="B24" s="1" t="s">
        <v>71</v>
      </c>
      <c r="C24" s="0"/>
      <c r="D24" s="0"/>
      <c r="E24" s="6" t="n">
        <f aca="false">(SUM(C2:C8))*0.02</f>
        <v>380.74</v>
      </c>
      <c r="G24" s="0"/>
      <c r="H24" s="12"/>
    </row>
    <row r="25" customFormat="false" ht="14.5" hidden="false" customHeight="true" outlineLevel="0" collapsed="false">
      <c r="B25" s="1" t="s">
        <v>72</v>
      </c>
      <c r="C25" s="0"/>
      <c r="D25" s="0"/>
      <c r="E25" s="6" t="n">
        <f aca="false">(C2+C3)*0.06</f>
        <v>977.82</v>
      </c>
      <c r="G25" s="0"/>
      <c r="H25" s="12"/>
    </row>
    <row r="26" customFormat="false" ht="14.5" hidden="false" customHeight="true" outlineLevel="0" collapsed="false">
      <c r="B26" s="1" t="s">
        <v>73</v>
      </c>
      <c r="C26" s="0"/>
      <c r="D26" s="0"/>
      <c r="E26" s="1" t="n">
        <v>77.65</v>
      </c>
      <c r="G26" s="0"/>
      <c r="H26" s="12"/>
    </row>
    <row r="27" customFormat="false" ht="14.5" hidden="false" customHeight="true" outlineLevel="0" collapsed="false">
      <c r="B27" s="2" t="s">
        <v>74</v>
      </c>
      <c r="C27" s="13" t="n">
        <f aca="false">SUM(C2:C7)</f>
        <v>19037</v>
      </c>
      <c r="D27" s="13" t="n">
        <f aca="false">SUM(D9:D22)</f>
        <v>6284.168</v>
      </c>
      <c r="E27" s="13" t="n">
        <f aca="false">SUM(E23:E26)</f>
        <v>3065.91</v>
      </c>
      <c r="G27" s="0"/>
      <c r="H27" s="12"/>
    </row>
    <row r="28" customFormat="false" ht="14.5" hidden="false" customHeight="true" outlineLevel="0" collapsed="false">
      <c r="B28" s="0"/>
      <c r="C28" s="0"/>
      <c r="D28" s="0"/>
      <c r="E28" s="0"/>
      <c r="G28" s="13"/>
    </row>
    <row r="29" customFormat="false" ht="14.5" hidden="false" customHeight="true" outlineLevel="0" collapsed="false">
      <c r="B29" s="2" t="s">
        <v>75</v>
      </c>
      <c r="C29" s="13" t="n">
        <f aca="false">C27-D27</f>
        <v>12752.832</v>
      </c>
      <c r="D29" s="13" t="s">
        <v>76</v>
      </c>
      <c r="E29" s="13" t="n">
        <f aca="false">'Tablas de Sueldos'!B23*'Tablas de Sueldos'!B25/2</f>
        <v>1905</v>
      </c>
    </row>
    <row r="30" customFormat="false" ht="14.5" hidden="false" customHeight="true" outlineLevel="0" collapsed="false">
      <c r="B30" s="2" t="s">
        <v>77</v>
      </c>
      <c r="C30" s="13" t="n">
        <f aca="false">IF(OR(Datos!B17="Si",Datos!B17="si",Datos!B17="SI"),(C2+C3+C4+C5)*12*0.19,0)</f>
        <v>40212.36</v>
      </c>
      <c r="D30" s="2" t="n">
        <f aca="false">C30/12</f>
        <v>3351.03</v>
      </c>
      <c r="E30" s="0"/>
    </row>
    <row r="31" customFormat="false" ht="14.5" hidden="false" customHeight="true" outlineLevel="0" collapsed="false">
      <c r="B31" s="2" t="s">
        <v>78</v>
      </c>
      <c r="C31" s="13" t="n">
        <f aca="false">3.75*(SUM(C2:C5) +C7+ E23)</f>
        <v>74687.625</v>
      </c>
      <c r="E31" s="0"/>
    </row>
    <row r="32" customFormat="false" ht="14.5" hidden="false" customHeight="true" outlineLevel="0" collapsed="false">
      <c r="B32" s="2" t="s">
        <v>79</v>
      </c>
      <c r="C32" s="13" t="n">
        <f aca="false">3.75*(SUM(C2:C5) +C7+ E23)</f>
        <v>74687.625</v>
      </c>
      <c r="E32" s="0"/>
    </row>
    <row r="33" customFormat="false" ht="14.5" hidden="false" customHeight="true" outlineLevel="0" collapsed="false">
      <c r="B33" s="2" t="s">
        <v>80</v>
      </c>
      <c r="C33" s="2" t="n">
        <f aca="false">'Tablas de Sueldos'!B19*'Tablas de Sueldos'!B25/2</f>
        <v>2857.5</v>
      </c>
      <c r="E33" s="0"/>
    </row>
    <row r="34" customFormat="false" ht="14.5" hidden="false" customHeight="true" outlineLevel="0" collapsed="false">
      <c r="B34" s="2" t="s">
        <v>81</v>
      </c>
      <c r="C34" s="13" t="n">
        <f aca="false">C27*12+C30+C32+C33</f>
        <v>346201.485</v>
      </c>
      <c r="E34" s="6"/>
    </row>
    <row r="35" customFormat="false" ht="15" hidden="false" customHeight="false" outlineLevel="0" collapsed="false">
      <c r="B35" s="0"/>
      <c r="C35" s="0"/>
    </row>
    <row r="36" customFormat="false" ht="14.5" hidden="false" customHeight="true" outlineLevel="0" collapsed="false">
      <c r="B36" s="2" t="s">
        <v>82</v>
      </c>
      <c r="C36" s="2" t="n">
        <f aca="false">Datos!B15*'Tablas de Sueldos'!B20</f>
        <v>4400</v>
      </c>
    </row>
    <row r="37" customFormat="false" ht="14.5" hidden="false" customHeight="true" outlineLevel="0" collapsed="false">
      <c r="B37" s="2" t="s">
        <v>24</v>
      </c>
      <c r="C37" s="2" t="n">
        <f aca="false">Datos!B19*'Tablas de Sueldos'!B21</f>
        <v>1800</v>
      </c>
    </row>
    <row r="38" customFormat="false" ht="15" hidden="false" customHeight="false" outlineLevel="0" collapsed="false">
      <c r="B38" s="0"/>
      <c r="C38" s="0"/>
    </row>
    <row r="39" customFormat="false" ht="15" hidden="false" customHeight="false" outlineLevel="0" collapsed="false">
      <c r="B39" s="0"/>
      <c r="C39" s="0"/>
    </row>
    <row r="40" customFormat="false" ht="15" hidden="false" customHeight="false" outlineLevel="0" collapsed="false">
      <c r="B40" s="0"/>
      <c r="C40" s="0"/>
    </row>
    <row r="41" customFormat="false" ht="14.5" hidden="false" customHeight="true" outlineLevel="0" collapsed="false">
      <c r="B41" s="2" t="s">
        <v>83</v>
      </c>
      <c r="C41" s="13" t="n">
        <f aca="false">(C27-C6)*12+C30 + C31*2</f>
        <v>409031.61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B1:J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RowHeight="15"/>
  <cols>
    <col collapsed="false" hidden="false" max="1" min="1" style="1" width="11.5204081632653"/>
    <col collapsed="false" hidden="false" max="2" min="2" style="1" width="54.5816326530612"/>
    <col collapsed="false" hidden="false" max="3" min="3" style="1" width="14.234693877551"/>
    <col collapsed="false" hidden="false" max="4" min="4" style="1" width="21.1479591836735"/>
    <col collapsed="false" hidden="false" max="5" min="5" style="1" width="14.6581632653061"/>
    <col collapsed="false" hidden="false" max="1025" min="6" style="1" width="11.5204081632653"/>
  </cols>
  <sheetData>
    <row r="1" s="8" customFormat="true" ht="14.5" hidden="false" customHeight="true" outlineLevel="0" collapsed="false">
      <c r="B1" s="8" t="s">
        <v>43</v>
      </c>
      <c r="C1" s="8" t="s">
        <v>44</v>
      </c>
      <c r="D1" s="9" t="s">
        <v>45</v>
      </c>
      <c r="E1" s="8" t="s">
        <v>46</v>
      </c>
      <c r="G1" s="9"/>
    </row>
    <row r="2" customFormat="false" ht="14.5" hidden="false" customHeight="true" outlineLevel="0" collapsed="false">
      <c r="B2" s="1" t="s">
        <v>47</v>
      </c>
      <c r="C2" s="4" t="n">
        <f aca="false">IF(OR(Datos!B2="x",Datos!B2="X"),'Tablas de Sueldos'!D2, IF(OR(Datos!B3="x",Datos!B3="X"),'Tablas de Sueldos'!D3, IF(OR(Datos!B4="x",Datos!B4="X"),'Tablas de Sueldos'!D4, IF(OR(Datos!B5="x",Datos!B5="X"),'Tablas de Sueldos'!D5, IF(OR(Datos!B6="x",Datos!B6="X"),'Tablas de Sueldos'!D6, IF(OR(Datos!B7="x",Datos!B7="X"),'Tablas de Sueldos'!D7, IF(OR(Datos!B8="x",Datos!B8="X"),'Tablas de Sueldos'!D8, IF(OR(Datos!B9="x",Datos!B9="X"),'Tablas de Sueldos'!D9, IF(OR(Datos!B10="x",Datos!B10="X"),'Tablas de Sueldos'!D10, IF(OR(Datos!B11="x",Datos!B11="X"),'Tablas de Sueldos'!D11,0 ))))))))))</f>
        <v>141861</v>
      </c>
      <c r="D2" s="0"/>
      <c r="E2" s="0"/>
      <c r="G2" s="0"/>
      <c r="H2" s="0"/>
      <c r="I2" s="0"/>
      <c r="J2" s="0"/>
    </row>
    <row r="3" customFormat="false" ht="14.5" hidden="false" customHeight="true" outlineLevel="0" collapsed="false">
      <c r="B3" s="1" t="s">
        <v>48</v>
      </c>
      <c r="C3" s="4" t="n">
        <f aca="false">'Tablas de Sueldos'!D15*Datos!B16</f>
        <v>1500</v>
      </c>
      <c r="D3" s="0"/>
      <c r="E3" s="0"/>
      <c r="G3" s="0"/>
      <c r="H3" s="0"/>
      <c r="I3" s="0"/>
      <c r="J3" s="0"/>
    </row>
    <row r="4" customFormat="false" ht="14.5" hidden="false" customHeight="true" outlineLevel="0" collapsed="false">
      <c r="B4" s="1" t="s">
        <v>49</v>
      </c>
      <c r="C4" s="4" t="n">
        <f aca="false">'Tablas de Sueldos'!D14</f>
        <v>930</v>
      </c>
      <c r="D4" s="0"/>
      <c r="E4" s="0"/>
      <c r="G4" s="0"/>
      <c r="H4" s="0"/>
      <c r="I4" s="6"/>
      <c r="J4" s="0"/>
    </row>
    <row r="5" customFormat="false" ht="14.5" hidden="false" customHeight="true" outlineLevel="0" collapsed="false">
      <c r="B5" s="1" t="s">
        <v>50</v>
      </c>
      <c r="C5" s="4" t="n">
        <f aca="false">IF(Datos!B15&gt;5,5,Datos!B15)*'Tablas de Sueldos'!D13</f>
        <v>1080</v>
      </c>
      <c r="D5" s="0"/>
      <c r="E5" s="0"/>
      <c r="G5" s="0"/>
      <c r="H5" s="0"/>
      <c r="I5" s="6"/>
      <c r="J5" s="0"/>
    </row>
    <row r="6" customFormat="false" ht="14.5" hidden="false" customHeight="true" outlineLevel="0" collapsed="false">
      <c r="B6" s="1" t="s">
        <v>51</v>
      </c>
      <c r="C6" s="4" t="n">
        <f aca="false">Datos!B15*'Tablas de Sueldos'!D16</f>
        <v>1125</v>
      </c>
      <c r="D6" s="0"/>
      <c r="E6" s="0"/>
      <c r="G6" s="0"/>
      <c r="H6" s="0"/>
      <c r="I6" s="0"/>
      <c r="J6" s="0"/>
    </row>
    <row r="7" customFormat="false" ht="14.5" hidden="false" customHeight="true" outlineLevel="0" collapsed="false">
      <c r="B7" s="1" t="s">
        <v>52</v>
      </c>
      <c r="C7" s="4" t="n">
        <f aca="false">'Tablas de Sueldos'!D17</f>
        <v>975</v>
      </c>
      <c r="D7" s="0"/>
      <c r="E7" s="0"/>
      <c r="G7" s="0"/>
      <c r="H7" s="0"/>
      <c r="I7" s="6"/>
      <c r="J7" s="0"/>
    </row>
    <row r="8" customFormat="false" ht="14.5" hidden="false" customHeight="true" outlineLevel="0" collapsed="false">
      <c r="B8" s="1" t="s">
        <v>53</v>
      </c>
      <c r="C8" s="4" t="n">
        <f aca="false">Datos!B18*'Tablas de Sueldos'!D22</f>
        <v>0</v>
      </c>
      <c r="D8" s="0"/>
      <c r="E8" s="0"/>
      <c r="G8" s="0"/>
      <c r="H8" s="0"/>
      <c r="I8" s="6"/>
      <c r="J8" s="0"/>
    </row>
    <row r="9" customFormat="false" ht="14.5" hidden="false" customHeight="true" outlineLevel="0" collapsed="false">
      <c r="B9" s="1" t="s">
        <v>54</v>
      </c>
      <c r="C9" s="0"/>
      <c r="D9" s="6" t="n">
        <f aca="false">Datos!B13/100*C27</f>
        <v>5382.6915</v>
      </c>
      <c r="E9" s="0"/>
      <c r="G9" s="0"/>
      <c r="H9" s="11"/>
      <c r="I9" s="0"/>
      <c r="J9" s="0"/>
    </row>
    <row r="10" customFormat="false" ht="14.5" hidden="false" customHeight="true" outlineLevel="0" collapsed="false">
      <c r="B10" s="1" t="s">
        <v>55</v>
      </c>
      <c r="C10" s="0"/>
      <c r="D10" s="6" t="n">
        <v>0.51</v>
      </c>
      <c r="E10" s="0"/>
      <c r="G10" s="0"/>
      <c r="H10" s="11"/>
      <c r="I10" s="6"/>
      <c r="J10" s="0"/>
    </row>
    <row r="11" customFormat="false" ht="14.5" hidden="false" customHeight="true" outlineLevel="0" collapsed="false">
      <c r="B11" s="1" t="s">
        <v>56</v>
      </c>
      <c r="C11" s="0"/>
      <c r="D11" s="6" t="n">
        <f aca="false">((C2+C3)*0.0175)</f>
        <v>2508.8175</v>
      </c>
      <c r="E11" s="0"/>
      <c r="G11" s="0"/>
      <c r="H11" s="11"/>
      <c r="I11" s="6"/>
      <c r="J11" s="6"/>
    </row>
    <row r="12" customFormat="false" ht="14.5" hidden="false" customHeight="true" outlineLevel="0" collapsed="false">
      <c r="B12" s="1" t="s">
        <v>57</v>
      </c>
      <c r="C12" s="0"/>
      <c r="D12" s="6" t="n">
        <f aca="false">(C2+C3+C4+C5+C7)*0.01</f>
        <v>1463.46</v>
      </c>
      <c r="E12" s="0"/>
      <c r="G12" s="0"/>
      <c r="H12" s="11"/>
      <c r="I12" s="6"/>
    </row>
    <row r="13" customFormat="false" ht="14.5" hidden="false" customHeight="true" outlineLevel="0" collapsed="false">
      <c r="B13" s="1" t="s">
        <v>58</v>
      </c>
      <c r="C13" s="0"/>
      <c r="D13" s="6" t="n">
        <f aca="false">(C2+C3)*0.04</f>
        <v>5734.44</v>
      </c>
      <c r="E13" s="0"/>
      <c r="G13" s="0"/>
      <c r="H13" s="11"/>
      <c r="I13" s="6"/>
    </row>
    <row r="14" customFormat="false" ht="14.5" hidden="false" customHeight="true" outlineLevel="0" collapsed="false">
      <c r="B14" s="1" t="s">
        <v>59</v>
      </c>
      <c r="C14" s="0"/>
      <c r="D14" s="6" t="n">
        <f aca="false">(C2+C3)*0.005</f>
        <v>716.805</v>
      </c>
      <c r="E14" s="0"/>
      <c r="G14" s="0"/>
      <c r="H14" s="11"/>
      <c r="I14" s="6"/>
    </row>
    <row r="15" customFormat="false" ht="14.5" hidden="false" customHeight="true" outlineLevel="0" collapsed="false">
      <c r="B15" s="1" t="s">
        <v>60</v>
      </c>
      <c r="C15" s="0"/>
      <c r="D15" s="6" t="n">
        <f aca="false">(C2+C3)*0.06</f>
        <v>8601.66</v>
      </c>
      <c r="E15" s="0"/>
      <c r="G15" s="0"/>
      <c r="H15" s="11"/>
      <c r="I15" s="6"/>
    </row>
    <row r="16" customFormat="false" ht="14.5" hidden="false" customHeight="true" outlineLevel="0" collapsed="false">
      <c r="B16" s="1" t="s">
        <v>61</v>
      </c>
      <c r="C16" s="0"/>
      <c r="D16" s="6" t="n">
        <f aca="false">(C2+C3)*0.1</f>
        <v>14336.1</v>
      </c>
      <c r="E16" s="0"/>
      <c r="G16" s="0"/>
      <c r="H16" s="11"/>
      <c r="I16" s="6"/>
    </row>
    <row r="17" customFormat="false" ht="14.5" hidden="false" customHeight="true" outlineLevel="0" collapsed="false">
      <c r="B17" s="1" t="s">
        <v>62</v>
      </c>
      <c r="C17" s="0"/>
      <c r="D17" s="6" t="n">
        <v>237.28</v>
      </c>
      <c r="E17" s="0"/>
      <c r="G17" s="0"/>
      <c r="H17" s="12"/>
      <c r="I17" s="6"/>
    </row>
    <row r="18" customFormat="false" ht="14.5" hidden="false" customHeight="true" outlineLevel="0" collapsed="false">
      <c r="B18" s="1" t="s">
        <v>63</v>
      </c>
      <c r="C18" s="0"/>
      <c r="D18" s="6" t="n">
        <v>760.98</v>
      </c>
      <c r="E18" s="2" t="s">
        <v>64</v>
      </c>
      <c r="G18" s="0"/>
      <c r="H18" s="12"/>
      <c r="I18" s="6"/>
    </row>
    <row r="19" customFormat="false" ht="14.5" hidden="false" customHeight="true" outlineLevel="0" collapsed="false">
      <c r="B19" s="1" t="s">
        <v>65</v>
      </c>
      <c r="C19" s="0"/>
      <c r="D19" s="6" t="n">
        <f aca="false">(C2+C3)*0.015</f>
        <v>2150.415</v>
      </c>
      <c r="E19" s="2" t="s">
        <v>66</v>
      </c>
      <c r="G19" s="0"/>
      <c r="H19" s="12"/>
      <c r="I19" s="6"/>
    </row>
    <row r="20" customFormat="false" ht="14.5" hidden="false" customHeight="true" outlineLevel="0" collapsed="false">
      <c r="B20" s="1" t="s">
        <v>67</v>
      </c>
      <c r="C20" s="0"/>
      <c r="D20" s="6" t="n">
        <v>10.61</v>
      </c>
      <c r="E20" s="0"/>
      <c r="G20" s="0"/>
      <c r="H20" s="12"/>
      <c r="I20" s="6"/>
    </row>
    <row r="21" customFormat="false" ht="14.5" hidden="false" customHeight="true" outlineLevel="0" collapsed="false">
      <c r="B21" s="1" t="s">
        <v>68</v>
      </c>
      <c r="C21" s="0"/>
      <c r="D21" s="6" t="n">
        <v>500</v>
      </c>
      <c r="E21" s="0"/>
      <c r="G21" s="0"/>
      <c r="H21" s="12"/>
      <c r="I21" s="6"/>
    </row>
    <row r="22" customFormat="false" ht="14.5" hidden="false" customHeight="true" outlineLevel="0" collapsed="false">
      <c r="B22" s="1" t="s">
        <v>69</v>
      </c>
      <c r="C22" s="0"/>
      <c r="D22" s="6" t="n">
        <v>26.53</v>
      </c>
      <c r="E22" s="0"/>
      <c r="G22" s="0"/>
      <c r="H22" s="12"/>
      <c r="I22" s="6"/>
    </row>
    <row r="23" customFormat="false" ht="14.5" hidden="false" customHeight="true" outlineLevel="0" collapsed="false">
      <c r="B23" s="1" t="s">
        <v>70</v>
      </c>
      <c r="C23" s="0"/>
      <c r="D23" s="0"/>
      <c r="E23" s="6" t="n">
        <f aca="false">(C2+C3)*0.1</f>
        <v>14336.1</v>
      </c>
      <c r="G23" s="0"/>
      <c r="H23" s="12"/>
    </row>
    <row r="24" customFormat="false" ht="14.5" hidden="false" customHeight="true" outlineLevel="0" collapsed="false">
      <c r="B24" s="1" t="s">
        <v>71</v>
      </c>
      <c r="C24" s="0"/>
      <c r="D24" s="0"/>
      <c r="E24" s="6" t="n">
        <f aca="false">(SUM(C2:C8))*0.02</f>
        <v>2949.42</v>
      </c>
      <c r="G24" s="0"/>
      <c r="H24" s="12"/>
    </row>
    <row r="25" customFormat="false" ht="14.5" hidden="false" customHeight="true" outlineLevel="0" collapsed="false">
      <c r="B25" s="1" t="s">
        <v>72</v>
      </c>
      <c r="C25" s="0"/>
      <c r="D25" s="0"/>
      <c r="E25" s="6" t="n">
        <f aca="false">(C2+C3)*0.06</f>
        <v>8601.66</v>
      </c>
      <c r="G25" s="0"/>
      <c r="H25" s="12"/>
    </row>
    <row r="26" customFormat="false" ht="14.5" hidden="false" customHeight="true" outlineLevel="0" collapsed="false">
      <c r="B26" s="1" t="s">
        <v>73</v>
      </c>
      <c r="C26" s="0"/>
      <c r="D26" s="0"/>
      <c r="E26" s="1" t="n">
        <v>77.65</v>
      </c>
      <c r="G26" s="0"/>
      <c r="H26" s="12"/>
    </row>
    <row r="27" customFormat="false" ht="14.5" hidden="false" customHeight="true" outlineLevel="0" collapsed="false">
      <c r="B27" s="2" t="s">
        <v>74</v>
      </c>
      <c r="C27" s="13" t="n">
        <f aca="false">SUM(C2:C7)</f>
        <v>147471</v>
      </c>
      <c r="D27" s="13" t="n">
        <f aca="false">SUM(D9:D22)</f>
        <v>42430.299</v>
      </c>
      <c r="E27" s="13" t="n">
        <f aca="false">SUM(E23:E26)</f>
        <v>25964.83</v>
      </c>
      <c r="G27" s="0"/>
      <c r="H27" s="12"/>
    </row>
    <row r="28" customFormat="false" ht="14.5" hidden="false" customHeight="true" outlineLevel="0" collapsed="false">
      <c r="B28" s="0"/>
      <c r="C28" s="0"/>
      <c r="D28" s="0"/>
      <c r="E28" s="0"/>
      <c r="G28" s="13"/>
    </row>
    <row r="29" customFormat="false" ht="14.5" hidden="false" customHeight="true" outlineLevel="0" collapsed="false">
      <c r="B29" s="2" t="s">
        <v>75</v>
      </c>
      <c r="C29" s="13" t="n">
        <f aca="false">C27-D27</f>
        <v>105040.701</v>
      </c>
      <c r="D29" s="13" t="s">
        <v>76</v>
      </c>
      <c r="E29" s="13" t="n">
        <f aca="false">'Tablas de Sueldos'!D23*'Tablas de Sueldos'!D25</f>
        <v>4500</v>
      </c>
    </row>
    <row r="30" customFormat="false" ht="14.5" hidden="false" customHeight="true" outlineLevel="0" collapsed="false">
      <c r="B30" s="2" t="s">
        <v>77</v>
      </c>
      <c r="C30" s="13" t="n">
        <f aca="false">IF(OR(Datos!B17="Si",Datos!B17="si",Datos!B17="SI"),(C2+C3+C4+C5)*12*0.19,0)</f>
        <v>331445.88</v>
      </c>
      <c r="D30" s="13" t="n">
        <f aca="false">C30/12</f>
        <v>27620.49</v>
      </c>
      <c r="E30" s="0"/>
    </row>
    <row r="31" customFormat="false" ht="14.5" hidden="false" customHeight="true" outlineLevel="0" collapsed="false">
      <c r="B31" s="2" t="s">
        <v>78</v>
      </c>
      <c r="C31" s="13" t="n">
        <f aca="false">3.75*(SUM(C2:C5) +C3+ E23)</f>
        <v>604526.625</v>
      </c>
      <c r="E31" s="0"/>
    </row>
    <row r="32" customFormat="false" ht="14.5" hidden="false" customHeight="true" outlineLevel="0" collapsed="false">
      <c r="B32" s="2" t="s">
        <v>79</v>
      </c>
      <c r="C32" s="13" t="n">
        <f aca="false">3.75*(SUM(C2:C5) +C3+ E23)</f>
        <v>604526.625</v>
      </c>
      <c r="E32" s="0"/>
    </row>
    <row r="33" customFormat="false" ht="14.5" hidden="false" customHeight="true" outlineLevel="0" collapsed="false">
      <c r="B33" s="2" t="s">
        <v>80</v>
      </c>
      <c r="C33" s="2" t="n">
        <f aca="false">'Tablas de Sueldos'!D19*'Tablas de Sueldos'!D25</f>
        <v>6750</v>
      </c>
      <c r="E33" s="0"/>
    </row>
    <row r="34" customFormat="false" ht="14.5" hidden="false" customHeight="true" outlineLevel="0" collapsed="false">
      <c r="B34" s="2" t="s">
        <v>81</v>
      </c>
      <c r="C34" s="13" t="n">
        <f aca="false">C27*12+C30+C32+C33</f>
        <v>2712374.505</v>
      </c>
      <c r="E34" s="6"/>
    </row>
    <row r="35" customFormat="false" ht="15" hidden="false" customHeight="false" outlineLevel="0" collapsed="false">
      <c r="B35" s="0"/>
      <c r="C35" s="0"/>
    </row>
    <row r="36" customFormat="false" ht="14.5" hidden="false" customHeight="true" outlineLevel="0" collapsed="false">
      <c r="B36" s="2" t="s">
        <v>82</v>
      </c>
      <c r="C36" s="2" t="n">
        <f aca="false">Datos!B15*'Tablas de Sueldos'!D20</f>
        <v>9240</v>
      </c>
    </row>
    <row r="37" customFormat="false" ht="14.5" hidden="false" customHeight="true" outlineLevel="0" collapsed="false">
      <c r="B37" s="2" t="s">
        <v>24</v>
      </c>
      <c r="C37" s="2" t="n">
        <f aca="false">Datos!B19*'Tablas de Sueldos'!D21</f>
        <v>3780</v>
      </c>
    </row>
    <row r="38" customFormat="false" ht="15" hidden="false" customHeight="false" outlineLevel="0" collapsed="false">
      <c r="B38" s="0"/>
      <c r="C38" s="0"/>
    </row>
    <row r="39" customFormat="false" ht="15" hidden="false" customHeight="false" outlineLevel="0" collapsed="false">
      <c r="B39" s="0"/>
      <c r="C39" s="0"/>
    </row>
    <row r="40" customFormat="false" ht="15" hidden="false" customHeight="false" outlineLevel="0" collapsed="false">
      <c r="B40" s="0"/>
      <c r="C40" s="0"/>
    </row>
    <row r="41" customFormat="false" ht="14.5" hidden="false" customHeight="true" outlineLevel="0" collapsed="false">
      <c r="B41" s="2" t="s">
        <v>83</v>
      </c>
      <c r="C41" s="13" t="n">
        <f aca="false">C27*12+C30 + C31*2</f>
        <v>3310151.13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B1:J41"/>
  <sheetViews>
    <sheetView windowProtection="false"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C11" activeCellId="0" sqref="C11"/>
    </sheetView>
  </sheetViews>
  <sheetFormatPr defaultRowHeight="15"/>
  <cols>
    <col collapsed="false" hidden="false" max="1" min="1" style="1" width="11.5204081632653"/>
    <col collapsed="false" hidden="false" max="2" min="2" style="1" width="54.5816326530612"/>
    <col collapsed="false" hidden="false" max="3" min="3" style="1" width="14.234693877551"/>
    <col collapsed="false" hidden="false" max="4" min="4" style="1" width="21.1479591836735"/>
    <col collapsed="false" hidden="false" max="5" min="5" style="1" width="14.6581632653061"/>
    <col collapsed="false" hidden="false" max="1025" min="6" style="1" width="11.5204081632653"/>
  </cols>
  <sheetData>
    <row r="1" s="8" customFormat="true" ht="14.5" hidden="false" customHeight="true" outlineLevel="0" collapsed="false">
      <c r="B1" s="8" t="s">
        <v>43</v>
      </c>
      <c r="C1" s="8" t="s">
        <v>44</v>
      </c>
      <c r="D1" s="9" t="s">
        <v>45</v>
      </c>
      <c r="E1" s="8" t="s">
        <v>46</v>
      </c>
      <c r="G1" s="9"/>
    </row>
    <row r="2" customFormat="false" ht="14.5" hidden="false" customHeight="true" outlineLevel="0" collapsed="false">
      <c r="B2" s="1" t="s">
        <v>47</v>
      </c>
      <c r="C2" s="4" t="n">
        <f aca="false">IF(OR(Datos!B2="x",Datos!B2="X"),'Tablas de Sueldos'!E2, IF(OR(Datos!B3="x",Datos!B3="X"),'Tablas de Sueldos'!E3, IF(OR(Datos!B4="x",Datos!B4="X"),'Tablas de Sueldos'!E4, IF(OR(Datos!B5="x",Datos!B5="X"),'Tablas de Sueldos'!E5, IF(OR(Datos!B6="x",Datos!B6="X"),'Tablas de Sueldos'!E6, IF(OR(Datos!B7="x",Datos!B7="X"),'Tablas de Sueldos'!E7, IF(OR(Datos!B8="x",Datos!B8="X"),'Tablas de Sueldos'!E8, IF(OR(Datos!B9="x",Datos!B9="X"),'Tablas de Sueldos'!E9, IF(OR(Datos!B10="x",Datos!B10="X"),'Tablas de Sueldos'!E10, IF(OR(Datos!B11="x",Datos!B11="X"),'Tablas de Sueldos'!E11,0 ))))))))))</f>
        <v>198605.4</v>
      </c>
      <c r="D2" s="0"/>
      <c r="E2" s="0"/>
      <c r="G2" s="0"/>
      <c r="H2" s="0"/>
      <c r="I2" s="0"/>
      <c r="J2" s="0"/>
    </row>
    <row r="3" customFormat="false" ht="14.5" hidden="false" customHeight="true" outlineLevel="0" collapsed="false">
      <c r="B3" s="1" t="s">
        <v>48</v>
      </c>
      <c r="C3" s="4" t="n">
        <f aca="false">'Tablas de Sueldos'!E15*Datos!B16</f>
        <v>2100</v>
      </c>
      <c r="D3" s="0"/>
      <c r="E3" s="0"/>
      <c r="G3" s="0"/>
      <c r="H3" s="0"/>
      <c r="I3" s="0"/>
      <c r="J3" s="0"/>
    </row>
    <row r="4" customFormat="false" ht="14.5" hidden="false" customHeight="true" outlineLevel="0" collapsed="false">
      <c r="B4" s="1" t="s">
        <v>49</v>
      </c>
      <c r="C4" s="4" t="n">
        <f aca="false">'Tablas de Sueldos'!E14</f>
        <v>1302</v>
      </c>
      <c r="D4" s="0"/>
      <c r="E4" s="0"/>
      <c r="G4" s="0"/>
      <c r="H4" s="0"/>
      <c r="I4" s="6"/>
      <c r="J4" s="0"/>
    </row>
    <row r="5" customFormat="false" ht="14.5" hidden="false" customHeight="true" outlineLevel="0" collapsed="false">
      <c r="B5" s="1" t="s">
        <v>50</v>
      </c>
      <c r="C5" s="4" t="n">
        <f aca="false">IF(Datos!B15&gt;5,5,Datos!B15)*'Tablas de Sueldos'!E13</f>
        <v>1512</v>
      </c>
      <c r="D5" s="0"/>
      <c r="E5" s="0"/>
      <c r="G5" s="0"/>
      <c r="H5" s="0"/>
      <c r="I5" s="6"/>
      <c r="J5" s="0"/>
    </row>
    <row r="6" customFormat="false" ht="14.5" hidden="false" customHeight="true" outlineLevel="0" collapsed="false">
      <c r="B6" s="1" t="s">
        <v>51</v>
      </c>
      <c r="C6" s="4" t="n">
        <f aca="false">Datos!B15*'Tablas de Sueldos'!E16</f>
        <v>1575</v>
      </c>
      <c r="D6" s="0"/>
      <c r="E6" s="0"/>
      <c r="G6" s="0"/>
      <c r="H6" s="0"/>
      <c r="I6" s="0"/>
      <c r="J6" s="0"/>
    </row>
    <row r="7" customFormat="false" ht="14.5" hidden="false" customHeight="true" outlineLevel="0" collapsed="false">
      <c r="B7" s="1" t="s">
        <v>52</v>
      </c>
      <c r="C7" s="4" t="n">
        <f aca="false">'Tablas de Sueldos'!E17</f>
        <v>1365</v>
      </c>
      <c r="D7" s="0"/>
      <c r="E7" s="0"/>
      <c r="G7" s="0"/>
      <c r="H7" s="0"/>
      <c r="I7" s="6"/>
      <c r="J7" s="0"/>
    </row>
    <row r="8" customFormat="false" ht="14.5" hidden="false" customHeight="true" outlineLevel="0" collapsed="false">
      <c r="B8" s="1" t="s">
        <v>53</v>
      </c>
      <c r="C8" s="4" t="n">
        <f aca="false">Datos!B18*'Tablas de Sueldos'!E22</f>
        <v>0</v>
      </c>
      <c r="D8" s="0"/>
      <c r="E8" s="0"/>
      <c r="G8" s="0"/>
      <c r="H8" s="0"/>
      <c r="I8" s="6"/>
      <c r="J8" s="0"/>
    </row>
    <row r="9" customFormat="false" ht="14.5" hidden="false" customHeight="true" outlineLevel="0" collapsed="false">
      <c r="B9" s="1" t="s">
        <v>54</v>
      </c>
      <c r="C9" s="0"/>
      <c r="D9" s="6" t="n">
        <f aca="false">Datos!B13/100*C27</f>
        <v>7535.7681</v>
      </c>
      <c r="E9" s="0"/>
      <c r="G9" s="0"/>
      <c r="H9" s="11"/>
      <c r="I9" s="0"/>
      <c r="J9" s="0"/>
    </row>
    <row r="10" customFormat="false" ht="14.5" hidden="false" customHeight="true" outlineLevel="0" collapsed="false">
      <c r="B10" s="1" t="s">
        <v>55</v>
      </c>
      <c r="C10" s="0"/>
      <c r="D10" s="6" t="n">
        <v>0.51</v>
      </c>
      <c r="E10" s="0"/>
      <c r="G10" s="0"/>
      <c r="H10" s="11"/>
      <c r="I10" s="6"/>
      <c r="J10" s="0"/>
    </row>
    <row r="11" customFormat="false" ht="14.5" hidden="false" customHeight="true" outlineLevel="0" collapsed="false">
      <c r="B11" s="1" t="s">
        <v>56</v>
      </c>
      <c r="C11" s="0"/>
      <c r="D11" s="6" t="n">
        <f aca="false">((C2+C3)*0.0175)</f>
        <v>3512.3445</v>
      </c>
      <c r="E11" s="0"/>
      <c r="G11" s="0"/>
      <c r="H11" s="11"/>
      <c r="I11" s="6"/>
      <c r="J11" s="6"/>
    </row>
    <row r="12" customFormat="false" ht="14.5" hidden="false" customHeight="true" outlineLevel="0" collapsed="false">
      <c r="B12" s="1" t="s">
        <v>57</v>
      </c>
      <c r="C12" s="0"/>
      <c r="D12" s="6" t="n">
        <f aca="false">(C2+C3+C4+C5+C7)*0.01</f>
        <v>2048.844</v>
      </c>
      <c r="E12" s="0"/>
      <c r="G12" s="0"/>
      <c r="H12" s="11"/>
      <c r="I12" s="6"/>
    </row>
    <row r="13" customFormat="false" ht="14.5" hidden="false" customHeight="true" outlineLevel="0" collapsed="false">
      <c r="B13" s="1" t="s">
        <v>58</v>
      </c>
      <c r="C13" s="0"/>
      <c r="D13" s="6" t="n">
        <f aca="false">(C2+C3)*0.04</f>
        <v>8028.216</v>
      </c>
      <c r="E13" s="0"/>
      <c r="G13" s="0"/>
      <c r="H13" s="11"/>
      <c r="I13" s="6"/>
    </row>
    <row r="14" customFormat="false" ht="14.5" hidden="false" customHeight="true" outlineLevel="0" collapsed="false">
      <c r="B14" s="1" t="s">
        <v>59</v>
      </c>
      <c r="C14" s="0"/>
      <c r="D14" s="6" t="n">
        <f aca="false">(C2+C3)*0.005</f>
        <v>1003.527</v>
      </c>
      <c r="E14" s="0"/>
      <c r="G14" s="0"/>
      <c r="H14" s="11"/>
      <c r="I14" s="6"/>
    </row>
    <row r="15" customFormat="false" ht="14.5" hidden="false" customHeight="true" outlineLevel="0" collapsed="false">
      <c r="B15" s="1" t="s">
        <v>60</v>
      </c>
      <c r="C15" s="0"/>
      <c r="D15" s="6" t="n">
        <f aca="false">(C2+C3)*0.06</f>
        <v>12042.324</v>
      </c>
      <c r="E15" s="0"/>
      <c r="G15" s="0"/>
      <c r="H15" s="11"/>
      <c r="I15" s="6"/>
    </row>
    <row r="16" customFormat="false" ht="14.5" hidden="false" customHeight="true" outlineLevel="0" collapsed="false">
      <c r="B16" s="1" t="s">
        <v>61</v>
      </c>
      <c r="C16" s="0"/>
      <c r="D16" s="6" t="n">
        <f aca="false">(C2+C3)*0.1</f>
        <v>20070.54</v>
      </c>
      <c r="E16" s="0"/>
      <c r="G16" s="0"/>
      <c r="H16" s="11"/>
      <c r="I16" s="6"/>
    </row>
    <row r="17" customFormat="false" ht="14.5" hidden="false" customHeight="true" outlineLevel="0" collapsed="false">
      <c r="B17" s="1" t="s">
        <v>62</v>
      </c>
      <c r="C17" s="0"/>
      <c r="D17" s="6" t="n">
        <v>237.28</v>
      </c>
      <c r="E17" s="0"/>
      <c r="G17" s="0"/>
      <c r="H17" s="12"/>
      <c r="I17" s="6"/>
    </row>
    <row r="18" customFormat="false" ht="14.5" hidden="false" customHeight="true" outlineLevel="0" collapsed="false">
      <c r="B18" s="1" t="s">
        <v>63</v>
      </c>
      <c r="C18" s="0"/>
      <c r="D18" s="6" t="n">
        <v>760.98</v>
      </c>
      <c r="E18" s="2" t="s">
        <v>64</v>
      </c>
      <c r="G18" s="0"/>
      <c r="H18" s="12"/>
      <c r="I18" s="6"/>
    </row>
    <row r="19" customFormat="false" ht="14.5" hidden="false" customHeight="true" outlineLevel="0" collapsed="false">
      <c r="B19" s="1" t="s">
        <v>65</v>
      </c>
      <c r="C19" s="0"/>
      <c r="D19" s="6" t="n">
        <f aca="false">(C2+C3)*0.015</f>
        <v>3010.581</v>
      </c>
      <c r="E19" s="2" t="s">
        <v>66</v>
      </c>
      <c r="G19" s="0"/>
      <c r="H19" s="12"/>
      <c r="I19" s="6"/>
    </row>
    <row r="20" customFormat="false" ht="14.5" hidden="false" customHeight="true" outlineLevel="0" collapsed="false">
      <c r="B20" s="1" t="s">
        <v>67</v>
      </c>
      <c r="C20" s="0"/>
      <c r="D20" s="6" t="n">
        <v>10.61</v>
      </c>
      <c r="E20" s="0"/>
      <c r="G20" s="0"/>
      <c r="H20" s="12"/>
      <c r="I20" s="6"/>
    </row>
    <row r="21" customFormat="false" ht="14.5" hidden="false" customHeight="true" outlineLevel="0" collapsed="false">
      <c r="B21" s="1" t="s">
        <v>68</v>
      </c>
      <c r="C21" s="0"/>
      <c r="D21" s="6" t="n">
        <v>500</v>
      </c>
      <c r="E21" s="0"/>
      <c r="G21" s="0"/>
      <c r="H21" s="12"/>
      <c r="I21" s="6"/>
    </row>
    <row r="22" customFormat="false" ht="14.5" hidden="false" customHeight="true" outlineLevel="0" collapsed="false">
      <c r="B22" s="1" t="s">
        <v>69</v>
      </c>
      <c r="C22" s="0"/>
      <c r="D22" s="6" t="n">
        <v>26.53</v>
      </c>
      <c r="E22" s="0"/>
      <c r="G22" s="0"/>
      <c r="H22" s="12"/>
      <c r="I22" s="6"/>
    </row>
    <row r="23" customFormat="false" ht="14.5" hidden="false" customHeight="true" outlineLevel="0" collapsed="false">
      <c r="B23" s="1" t="s">
        <v>70</v>
      </c>
      <c r="C23" s="0"/>
      <c r="D23" s="0"/>
      <c r="E23" s="6" t="n">
        <f aca="false">(C2+C3)*0.1</f>
        <v>20070.54</v>
      </c>
      <c r="G23" s="0"/>
      <c r="H23" s="12"/>
    </row>
    <row r="24" customFormat="false" ht="14.5" hidden="false" customHeight="true" outlineLevel="0" collapsed="false">
      <c r="B24" s="1" t="s">
        <v>71</v>
      </c>
      <c r="C24" s="0"/>
      <c r="D24" s="0"/>
      <c r="E24" s="6" t="n">
        <f aca="false">(SUM(C2:C8))*0.02</f>
        <v>4129.188</v>
      </c>
      <c r="G24" s="0"/>
      <c r="H24" s="12"/>
    </row>
    <row r="25" customFormat="false" ht="14.5" hidden="false" customHeight="true" outlineLevel="0" collapsed="false">
      <c r="B25" s="1" t="s">
        <v>72</v>
      </c>
      <c r="C25" s="0"/>
      <c r="D25" s="0"/>
      <c r="E25" s="6" t="n">
        <f aca="false">(C2+C3)*0.06</f>
        <v>12042.324</v>
      </c>
      <c r="G25" s="0"/>
      <c r="H25" s="12"/>
    </row>
    <row r="26" customFormat="false" ht="14.5" hidden="false" customHeight="true" outlineLevel="0" collapsed="false">
      <c r="B26" s="1" t="s">
        <v>73</v>
      </c>
      <c r="C26" s="0"/>
      <c r="D26" s="0"/>
      <c r="E26" s="1" t="n">
        <v>77.65</v>
      </c>
      <c r="G26" s="0"/>
      <c r="H26" s="12"/>
    </row>
    <row r="27" customFormat="false" ht="14.5" hidden="false" customHeight="true" outlineLevel="0" collapsed="false">
      <c r="B27" s="2" t="s">
        <v>74</v>
      </c>
      <c r="C27" s="13" t="n">
        <f aca="false">SUM(C2:C7)</f>
        <v>206459.4</v>
      </c>
      <c r="D27" s="13" t="n">
        <f aca="false">SUM(D9:D22)</f>
        <v>58788.0546</v>
      </c>
      <c r="E27" s="13" t="n">
        <f aca="false">SUM(E23:E26)</f>
        <v>36319.702</v>
      </c>
      <c r="G27" s="0"/>
      <c r="H27" s="12"/>
    </row>
    <row r="28" customFormat="false" ht="14.5" hidden="false" customHeight="true" outlineLevel="0" collapsed="false">
      <c r="B28" s="0"/>
      <c r="C28" s="0"/>
      <c r="D28" s="0"/>
      <c r="E28" s="0"/>
      <c r="G28" s="13"/>
    </row>
    <row r="29" customFormat="false" ht="14.5" hidden="false" customHeight="true" outlineLevel="0" collapsed="false">
      <c r="B29" s="2" t="s">
        <v>75</v>
      </c>
      <c r="C29" s="13" t="n">
        <f aca="false">C27-D27</f>
        <v>147671.3454</v>
      </c>
      <c r="D29" s="13" t="s">
        <v>76</v>
      </c>
      <c r="E29" s="13" t="n">
        <f aca="false">'Tablas de Sueldos'!E23*'Tablas de Sueldos'!E25</f>
        <v>4500</v>
      </c>
    </row>
    <row r="30" customFormat="false" ht="14.5" hidden="false" customHeight="true" outlineLevel="0" collapsed="false">
      <c r="B30" s="2" t="s">
        <v>77</v>
      </c>
      <c r="C30" s="13" t="n">
        <f aca="false">IF(OR(Datos!B17="Si",Datos!B17="si",Datos!B17="SI"),(C2+C3+C4+C5)*12*0.19,0)</f>
        <v>464024.232</v>
      </c>
      <c r="D30" s="13" t="n">
        <f aca="false">C30/12</f>
        <v>38668.686</v>
      </c>
      <c r="E30" s="0"/>
    </row>
    <row r="31" customFormat="false" ht="14.5" hidden="false" customHeight="true" outlineLevel="0" collapsed="false">
      <c r="B31" s="2" t="s">
        <v>78</v>
      </c>
      <c r="C31" s="13" t="n">
        <f aca="false">3.75*(SUM(C2:C5) +C7+ E23)</f>
        <v>843581.025</v>
      </c>
      <c r="E31" s="0"/>
    </row>
    <row r="32" customFormat="false" ht="14.5" hidden="false" customHeight="true" outlineLevel="0" collapsed="false">
      <c r="B32" s="2" t="s">
        <v>79</v>
      </c>
      <c r="C32" s="13" t="n">
        <f aca="false">3.75*(SUM(C2:C5) +C7+ E23)</f>
        <v>843581.025</v>
      </c>
      <c r="E32" s="0"/>
    </row>
    <row r="33" customFormat="false" ht="14.5" hidden="false" customHeight="true" outlineLevel="0" collapsed="false">
      <c r="B33" s="2" t="s">
        <v>80</v>
      </c>
      <c r="C33" s="2" t="n">
        <f aca="false">'Tablas de Sueldos'!E19*'Tablas de Sueldos'!E25</f>
        <v>6750</v>
      </c>
      <c r="E33" s="0"/>
    </row>
    <row r="34" customFormat="false" ht="14.5" hidden="false" customHeight="true" outlineLevel="0" collapsed="false">
      <c r="B34" s="2" t="s">
        <v>81</v>
      </c>
      <c r="C34" s="13" t="n">
        <f aca="false">C27*12+C30+C32+C33</f>
        <v>3791868.057</v>
      </c>
      <c r="E34" s="6"/>
    </row>
    <row r="35" customFormat="false" ht="15" hidden="false" customHeight="false" outlineLevel="0" collapsed="false">
      <c r="B35" s="0"/>
      <c r="C35" s="0"/>
    </row>
    <row r="36" customFormat="false" ht="14.5" hidden="false" customHeight="true" outlineLevel="0" collapsed="false">
      <c r="B36" s="2" t="s">
        <v>82</v>
      </c>
      <c r="C36" s="2" t="n">
        <f aca="false">Datos!B15*'Tablas de Sueldos'!E20</f>
        <v>9240</v>
      </c>
    </row>
    <row r="37" customFormat="false" ht="14.5" hidden="false" customHeight="true" outlineLevel="0" collapsed="false">
      <c r="B37" s="2" t="s">
        <v>24</v>
      </c>
      <c r="C37" s="2" t="n">
        <f aca="false">Datos!B19*'Tablas de Sueldos'!E21</f>
        <v>3780</v>
      </c>
    </row>
    <row r="38" customFormat="false" ht="15" hidden="false" customHeight="false" outlineLevel="0" collapsed="false">
      <c r="B38" s="0"/>
      <c r="C38" s="0"/>
    </row>
    <row r="39" customFormat="false" ht="15" hidden="false" customHeight="false" outlineLevel="0" collapsed="false">
      <c r="B39" s="0"/>
      <c r="C39" s="0"/>
    </row>
    <row r="40" customFormat="false" ht="15" hidden="false" customHeight="false" outlineLevel="0" collapsed="false">
      <c r="B40" s="0"/>
      <c r="C40" s="0"/>
    </row>
    <row r="41" customFormat="false" ht="14.5" hidden="false" customHeight="true" outlineLevel="0" collapsed="false">
      <c r="B41" s="2" t="s">
        <v>83</v>
      </c>
      <c r="C41" s="13" t="n">
        <f aca="false">C27*12+C30 + C31*2</f>
        <v>4628699.082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B1:J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5"/>
  <cols>
    <col collapsed="false" hidden="false" max="1" min="1" style="1" width="11.5204081632653"/>
    <col collapsed="false" hidden="false" max="2" min="2" style="1" width="54.5816326530612"/>
    <col collapsed="false" hidden="false" max="3" min="3" style="1" width="14.234693877551"/>
    <col collapsed="false" hidden="false" max="4" min="4" style="1" width="21.1479591836735"/>
    <col collapsed="false" hidden="false" max="5" min="5" style="1" width="14.6581632653061"/>
    <col collapsed="false" hidden="false" max="1025" min="6" style="1" width="11.5204081632653"/>
  </cols>
  <sheetData>
    <row r="1" s="8" customFormat="true" ht="14.5" hidden="false" customHeight="true" outlineLevel="0" collapsed="false">
      <c r="B1" s="8" t="s">
        <v>43</v>
      </c>
      <c r="C1" s="8" t="s">
        <v>44</v>
      </c>
      <c r="D1" s="9" t="s">
        <v>45</v>
      </c>
      <c r="E1" s="8" t="s">
        <v>46</v>
      </c>
      <c r="G1" s="9"/>
    </row>
    <row r="2" customFormat="false" ht="14.5" hidden="false" customHeight="true" outlineLevel="0" collapsed="false">
      <c r="B2" s="1" t="s">
        <v>47</v>
      </c>
      <c r="C2" s="4" t="n">
        <f aca="false">IF(OR(Datos!B2="x",Datos!B2="X"),'Tablas de Sueldos'!F2, IF(OR(Datos!B3="x",Datos!B3="X"),'Tablas de Sueldos'!F3, IF(OR(Datos!B4="x",Datos!B4="X"),'Tablas de Sueldos'!F4, IF(OR(Datos!B5="x",Datos!B5="X"),'Tablas de Sueldos'!F5, IF(OR(Datos!B6="x",Datos!B6="X"),'Tablas de Sueldos'!F6, IF(OR(Datos!B7="x",Datos!B7="X"),'Tablas de Sueldos'!F7, IF(OR(Datos!B8="x",Datos!B8="X"),'Tablas de Sueldos'!F8, IF(OR(Datos!B9="x",Datos!B9="X"),'Tablas de Sueldos'!F9, IF(OR(Datos!B10="x",Datos!B10="X"),'Tablas de Sueldos'!F10, IF(OR(Datos!B11="x",Datos!B11="X"),'Tablas de Sueldos'!F11,0 ))))))))))</f>
        <v>278047.56</v>
      </c>
      <c r="D2" s="0"/>
      <c r="E2" s="0"/>
      <c r="G2" s="0"/>
      <c r="H2" s="0"/>
      <c r="I2" s="0"/>
      <c r="J2" s="0"/>
    </row>
    <row r="3" customFormat="false" ht="14.5" hidden="false" customHeight="true" outlineLevel="0" collapsed="false">
      <c r="B3" s="1" t="s">
        <v>48</v>
      </c>
      <c r="C3" s="4" t="n">
        <f aca="false">'Tablas de Sueldos'!F15*Datos!B16</f>
        <v>2940</v>
      </c>
      <c r="D3" s="0"/>
      <c r="E3" s="0"/>
      <c r="G3" s="0"/>
      <c r="H3" s="0"/>
      <c r="I3" s="0"/>
      <c r="J3" s="0"/>
    </row>
    <row r="4" customFormat="false" ht="14.5" hidden="false" customHeight="true" outlineLevel="0" collapsed="false">
      <c r="B4" s="1" t="s">
        <v>49</v>
      </c>
      <c r="C4" s="4" t="n">
        <f aca="false">'Tablas de Sueldos'!F14</f>
        <v>1822.8</v>
      </c>
      <c r="D4" s="0"/>
      <c r="E4" s="0"/>
      <c r="G4" s="0"/>
      <c r="H4" s="0"/>
      <c r="I4" s="6"/>
      <c r="J4" s="0"/>
    </row>
    <row r="5" customFormat="false" ht="14.5" hidden="false" customHeight="true" outlineLevel="0" collapsed="false">
      <c r="B5" s="1" t="s">
        <v>50</v>
      </c>
      <c r="C5" s="4" t="n">
        <f aca="false">IF(Datos!B15&gt;5,5,Datos!B15)*'Tablas de Sueldos'!F13</f>
        <v>2116.8</v>
      </c>
      <c r="D5" s="0"/>
      <c r="E5" s="0"/>
      <c r="G5" s="0"/>
      <c r="H5" s="0"/>
      <c r="I5" s="6"/>
      <c r="J5" s="0"/>
    </row>
    <row r="6" customFormat="false" ht="14.5" hidden="false" customHeight="true" outlineLevel="0" collapsed="false">
      <c r="B6" s="1" t="s">
        <v>51</v>
      </c>
      <c r="C6" s="4" t="n">
        <f aca="false">Datos!B15*'Tablas de Sueldos'!F16</f>
        <v>2205</v>
      </c>
      <c r="D6" s="0"/>
      <c r="E6" s="0"/>
      <c r="G6" s="0"/>
      <c r="H6" s="0"/>
      <c r="I6" s="0"/>
      <c r="J6" s="0"/>
    </row>
    <row r="7" customFormat="false" ht="14.5" hidden="false" customHeight="true" outlineLevel="0" collapsed="false">
      <c r="B7" s="1" t="s">
        <v>52</v>
      </c>
      <c r="C7" s="4" t="n">
        <f aca="false">'Tablas de Sueldos'!F17</f>
        <v>1911</v>
      </c>
      <c r="D7" s="0"/>
      <c r="E7" s="0"/>
      <c r="G7" s="0"/>
      <c r="H7" s="0"/>
      <c r="I7" s="6"/>
      <c r="J7" s="0"/>
    </row>
    <row r="8" customFormat="false" ht="14.5" hidden="false" customHeight="true" outlineLevel="0" collapsed="false">
      <c r="B8" s="1" t="s">
        <v>53</v>
      </c>
      <c r="C8" s="4" t="n">
        <f aca="false">Datos!B18*'Tablas de Sueldos'!F22</f>
        <v>0</v>
      </c>
      <c r="D8" s="0"/>
      <c r="E8" s="0"/>
      <c r="G8" s="0"/>
      <c r="H8" s="0"/>
      <c r="I8" s="6"/>
      <c r="J8" s="0"/>
    </row>
    <row r="9" customFormat="false" ht="14.5" hidden="false" customHeight="true" outlineLevel="0" collapsed="false">
      <c r="B9" s="1" t="s">
        <v>54</v>
      </c>
      <c r="C9" s="0"/>
      <c r="D9" s="6" t="n">
        <f aca="false">Datos!B13/100*C27</f>
        <v>10550.07534</v>
      </c>
      <c r="E9" s="0"/>
      <c r="G9" s="0"/>
      <c r="H9" s="11"/>
      <c r="I9" s="0"/>
      <c r="J9" s="0"/>
    </row>
    <row r="10" customFormat="false" ht="14.5" hidden="false" customHeight="true" outlineLevel="0" collapsed="false">
      <c r="B10" s="1" t="s">
        <v>55</v>
      </c>
      <c r="C10" s="0"/>
      <c r="D10" s="6" t="n">
        <v>0.51</v>
      </c>
      <c r="E10" s="0"/>
      <c r="G10" s="0"/>
      <c r="H10" s="11"/>
      <c r="I10" s="6"/>
      <c r="J10" s="0"/>
    </row>
    <row r="11" customFormat="false" ht="14.5" hidden="false" customHeight="true" outlineLevel="0" collapsed="false">
      <c r="B11" s="1" t="s">
        <v>56</v>
      </c>
      <c r="C11" s="0"/>
      <c r="D11" s="6" t="n">
        <f aca="false">((C2+C3)*0.0175)</f>
        <v>4917.2823</v>
      </c>
      <c r="E11" s="0"/>
      <c r="G11" s="0"/>
      <c r="H11" s="11"/>
      <c r="I11" s="6"/>
      <c r="J11" s="6"/>
    </row>
    <row r="12" customFormat="false" ht="14.5" hidden="false" customHeight="true" outlineLevel="0" collapsed="false">
      <c r="B12" s="1" t="s">
        <v>57</v>
      </c>
      <c r="C12" s="0"/>
      <c r="D12" s="6" t="n">
        <f aca="false">(C2+C3+C4+C5+C7)*0.01</f>
        <v>2868.3816</v>
      </c>
      <c r="E12" s="0"/>
      <c r="G12" s="0"/>
      <c r="H12" s="11"/>
      <c r="I12" s="6"/>
    </row>
    <row r="13" customFormat="false" ht="14.5" hidden="false" customHeight="true" outlineLevel="0" collapsed="false">
      <c r="B13" s="1" t="s">
        <v>58</v>
      </c>
      <c r="C13" s="0"/>
      <c r="D13" s="6" t="n">
        <f aca="false">(C2+C3)*0.04</f>
        <v>11239.5024</v>
      </c>
      <c r="E13" s="0"/>
      <c r="G13" s="0"/>
      <c r="H13" s="11"/>
      <c r="I13" s="6"/>
    </row>
    <row r="14" customFormat="false" ht="14.5" hidden="false" customHeight="true" outlineLevel="0" collapsed="false">
      <c r="B14" s="1" t="s">
        <v>59</v>
      </c>
      <c r="C14" s="0"/>
      <c r="D14" s="6" t="n">
        <f aca="false">(C2+C3)*0.005</f>
        <v>1404.9378</v>
      </c>
      <c r="E14" s="0"/>
      <c r="G14" s="0"/>
      <c r="H14" s="11"/>
      <c r="I14" s="6"/>
    </row>
    <row r="15" customFormat="false" ht="14.5" hidden="false" customHeight="true" outlineLevel="0" collapsed="false">
      <c r="B15" s="1" t="s">
        <v>60</v>
      </c>
      <c r="C15" s="0"/>
      <c r="D15" s="6" t="n">
        <f aca="false">(C2+C3)*0.06</f>
        <v>16859.2536</v>
      </c>
      <c r="E15" s="0"/>
      <c r="G15" s="0"/>
      <c r="H15" s="11"/>
      <c r="I15" s="6"/>
    </row>
    <row r="16" customFormat="false" ht="14.5" hidden="false" customHeight="true" outlineLevel="0" collapsed="false">
      <c r="B16" s="1" t="s">
        <v>61</v>
      </c>
      <c r="C16" s="0"/>
      <c r="D16" s="6" t="n">
        <f aca="false">(C2+C3)*0.1</f>
        <v>28098.756</v>
      </c>
      <c r="E16" s="0"/>
      <c r="G16" s="0"/>
      <c r="H16" s="11"/>
      <c r="I16" s="6"/>
    </row>
    <row r="17" customFormat="false" ht="14.5" hidden="false" customHeight="true" outlineLevel="0" collapsed="false">
      <c r="B17" s="1" t="s">
        <v>62</v>
      </c>
      <c r="C17" s="0"/>
      <c r="D17" s="6" t="n">
        <v>237.28</v>
      </c>
      <c r="E17" s="0"/>
      <c r="G17" s="0"/>
      <c r="H17" s="12"/>
      <c r="I17" s="6"/>
    </row>
    <row r="18" customFormat="false" ht="14.5" hidden="false" customHeight="true" outlineLevel="0" collapsed="false">
      <c r="B18" s="1" t="s">
        <v>63</v>
      </c>
      <c r="C18" s="0"/>
      <c r="D18" s="6" t="n">
        <v>760.98</v>
      </c>
      <c r="E18" s="2" t="s">
        <v>64</v>
      </c>
      <c r="G18" s="0"/>
      <c r="H18" s="12"/>
      <c r="I18" s="6"/>
    </row>
    <row r="19" customFormat="false" ht="14.5" hidden="false" customHeight="true" outlineLevel="0" collapsed="false">
      <c r="B19" s="1" t="s">
        <v>65</v>
      </c>
      <c r="C19" s="0"/>
      <c r="D19" s="6" t="n">
        <f aca="false">(C2+C3)*0.015</f>
        <v>4214.8134</v>
      </c>
      <c r="E19" s="2" t="s">
        <v>66</v>
      </c>
      <c r="G19" s="0"/>
      <c r="H19" s="12"/>
      <c r="I19" s="6"/>
    </row>
    <row r="20" customFormat="false" ht="14.5" hidden="false" customHeight="true" outlineLevel="0" collapsed="false">
      <c r="B20" s="1" t="s">
        <v>67</v>
      </c>
      <c r="C20" s="0"/>
      <c r="D20" s="6" t="n">
        <v>10.61</v>
      </c>
      <c r="E20" s="0"/>
      <c r="G20" s="0"/>
      <c r="H20" s="12"/>
      <c r="I20" s="6"/>
    </row>
    <row r="21" customFormat="false" ht="14.5" hidden="false" customHeight="true" outlineLevel="0" collapsed="false">
      <c r="B21" s="1" t="s">
        <v>68</v>
      </c>
      <c r="C21" s="0"/>
      <c r="D21" s="6" t="n">
        <v>500</v>
      </c>
      <c r="E21" s="0"/>
      <c r="G21" s="0"/>
      <c r="H21" s="12"/>
      <c r="I21" s="6"/>
    </row>
    <row r="22" customFormat="false" ht="14.5" hidden="false" customHeight="true" outlineLevel="0" collapsed="false">
      <c r="B22" s="1" t="s">
        <v>69</v>
      </c>
      <c r="C22" s="0"/>
      <c r="D22" s="6" t="n">
        <v>26.53</v>
      </c>
      <c r="E22" s="0"/>
      <c r="G22" s="0"/>
      <c r="H22" s="12"/>
      <c r="I22" s="6"/>
    </row>
    <row r="23" customFormat="false" ht="14.5" hidden="false" customHeight="true" outlineLevel="0" collapsed="false">
      <c r="B23" s="1" t="s">
        <v>70</v>
      </c>
      <c r="C23" s="0"/>
      <c r="D23" s="0"/>
      <c r="E23" s="6" t="n">
        <f aca="false">(C2+C3)*0.1</f>
        <v>28098.756</v>
      </c>
      <c r="G23" s="0"/>
      <c r="H23" s="12"/>
    </row>
    <row r="24" customFormat="false" ht="14.5" hidden="false" customHeight="true" outlineLevel="0" collapsed="false">
      <c r="B24" s="1" t="s">
        <v>71</v>
      </c>
      <c r="C24" s="0"/>
      <c r="D24" s="0"/>
      <c r="E24" s="6" t="n">
        <f aca="false">(SUM(C2:C8))*0.02</f>
        <v>5780.8632</v>
      </c>
      <c r="G24" s="0"/>
      <c r="H24" s="12"/>
    </row>
    <row r="25" customFormat="false" ht="14.5" hidden="false" customHeight="true" outlineLevel="0" collapsed="false">
      <c r="B25" s="1" t="s">
        <v>72</v>
      </c>
      <c r="C25" s="0"/>
      <c r="D25" s="0"/>
      <c r="E25" s="6" t="n">
        <f aca="false">(C2+C3)*0.06</f>
        <v>16859.2536</v>
      </c>
      <c r="G25" s="0"/>
      <c r="H25" s="12"/>
    </row>
    <row r="26" customFormat="false" ht="14.5" hidden="false" customHeight="true" outlineLevel="0" collapsed="false">
      <c r="B26" s="1" t="s">
        <v>73</v>
      </c>
      <c r="C26" s="0"/>
      <c r="D26" s="0"/>
      <c r="E26" s="1" t="n">
        <v>77.65</v>
      </c>
      <c r="G26" s="0"/>
      <c r="H26" s="12"/>
    </row>
    <row r="27" customFormat="false" ht="14.5" hidden="false" customHeight="true" outlineLevel="0" collapsed="false">
      <c r="B27" s="2" t="s">
        <v>74</v>
      </c>
      <c r="C27" s="13" t="n">
        <f aca="false">SUM(C2:C7)</f>
        <v>289043.16</v>
      </c>
      <c r="D27" s="13" t="n">
        <f aca="false">SUM(D9:D22)</f>
        <v>81688.91244</v>
      </c>
      <c r="E27" s="13" t="n">
        <f aca="false">SUM(E23:E26)</f>
        <v>50816.5228</v>
      </c>
      <c r="G27" s="0"/>
      <c r="H27" s="12"/>
    </row>
    <row r="28" customFormat="false" ht="14.5" hidden="false" customHeight="true" outlineLevel="0" collapsed="false">
      <c r="B28" s="0"/>
      <c r="C28" s="0"/>
      <c r="D28" s="0"/>
      <c r="E28" s="0"/>
      <c r="G28" s="13"/>
    </row>
    <row r="29" customFormat="false" ht="14.5" hidden="false" customHeight="true" outlineLevel="0" collapsed="false">
      <c r="B29" s="2" t="s">
        <v>75</v>
      </c>
      <c r="C29" s="13" t="n">
        <f aca="false">C27-D27</f>
        <v>207354.24756</v>
      </c>
      <c r="D29" s="13" t="s">
        <v>76</v>
      </c>
      <c r="E29" s="13" t="n">
        <f aca="false">'Tablas de Sueldos'!F23*'Tablas de Sueldos'!F25</f>
        <v>4500</v>
      </c>
    </row>
    <row r="30" customFormat="false" ht="14.5" hidden="false" customHeight="true" outlineLevel="0" collapsed="false">
      <c r="B30" s="2" t="s">
        <v>77</v>
      </c>
      <c r="C30" s="13" t="n">
        <f aca="false">IF(OR(Datos!B17="Si",Datos!B17="si",Datos!B17="SI"),(C2+C3+C4+C5)*12*0.19,0)</f>
        <v>649633.9248</v>
      </c>
      <c r="D30" s="13" t="n">
        <f aca="false">C30/12</f>
        <v>54136.1604</v>
      </c>
      <c r="E30" s="0"/>
    </row>
    <row r="31" customFormat="false" ht="14.5" hidden="false" customHeight="true" outlineLevel="0" collapsed="false">
      <c r="B31" s="2" t="s">
        <v>78</v>
      </c>
      <c r="C31" s="13" t="n">
        <f aca="false">3.75*(SUM(C2:C5) +C7+ E23)</f>
        <v>1181013.435</v>
      </c>
      <c r="E31" s="0"/>
    </row>
    <row r="32" customFormat="false" ht="14.5" hidden="false" customHeight="true" outlineLevel="0" collapsed="false">
      <c r="B32" s="2" t="s">
        <v>79</v>
      </c>
      <c r="C32" s="13" t="n">
        <f aca="false">3.75*(SUM(C2:C5) +C7+ E23)</f>
        <v>1181013.435</v>
      </c>
      <c r="E32" s="0"/>
    </row>
    <row r="33" customFormat="false" ht="14.5" hidden="false" customHeight="true" outlineLevel="0" collapsed="false">
      <c r="B33" s="2" t="s">
        <v>80</v>
      </c>
      <c r="C33" s="2" t="n">
        <f aca="false">'Tablas de Sueldos'!F19*'Tablas de Sueldos'!F25</f>
        <v>6750</v>
      </c>
      <c r="E33" s="0"/>
    </row>
    <row r="34" customFormat="false" ht="14.5" hidden="false" customHeight="true" outlineLevel="0" collapsed="false">
      <c r="B34" s="2" t="s">
        <v>81</v>
      </c>
      <c r="C34" s="13" t="n">
        <f aca="false">C27*12+C30+C32+C33</f>
        <v>5305915.2798</v>
      </c>
      <c r="E34" s="6"/>
    </row>
    <row r="35" customFormat="false" ht="15" hidden="false" customHeight="false" outlineLevel="0" collapsed="false">
      <c r="B35" s="0"/>
      <c r="C35" s="0"/>
    </row>
    <row r="36" customFormat="false" ht="14.5" hidden="false" customHeight="true" outlineLevel="0" collapsed="false">
      <c r="B36" s="2" t="s">
        <v>82</v>
      </c>
      <c r="C36" s="2" t="n">
        <f aca="false">Datos!B15*'Tablas de Sueldos'!F20</f>
        <v>18110.4</v>
      </c>
    </row>
    <row r="37" customFormat="false" ht="14.5" hidden="false" customHeight="true" outlineLevel="0" collapsed="false">
      <c r="B37" s="2" t="s">
        <v>24</v>
      </c>
      <c r="C37" s="2" t="n">
        <f aca="false">Datos!B19*'Tablas de Sueldos'!F21</f>
        <v>7408.8</v>
      </c>
    </row>
    <row r="38" customFormat="false" ht="15" hidden="false" customHeight="false" outlineLevel="0" collapsed="false">
      <c r="B38" s="0"/>
      <c r="C38" s="0"/>
    </row>
    <row r="39" customFormat="false" ht="15" hidden="false" customHeight="false" outlineLevel="0" collapsed="false">
      <c r="B39" s="0"/>
      <c r="C39" s="0"/>
    </row>
    <row r="40" customFormat="false" ht="15" hidden="false" customHeight="false" outlineLevel="0" collapsed="false">
      <c r="B40" s="0"/>
      <c r="C40" s="0"/>
    </row>
    <row r="41" customFormat="false" ht="14.5" hidden="false" customHeight="true" outlineLevel="0" collapsed="false">
      <c r="B41" s="2" t="s">
        <v>83</v>
      </c>
      <c r="C41" s="13" t="n">
        <f aca="false">C27*12+C30 + C31*2</f>
        <v>6480178.7148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B1:J41"/>
  <sheetViews>
    <sheetView windowProtection="false" showFormulas="false" showGridLines="true" showRowColHeaders="true" showZeros="true" rightToLeft="false" tabSelected="true" showOutlineSymbols="true" defaultGridColor="true" view="normal" topLeftCell="A37" colorId="64" zoomScale="100" zoomScaleNormal="100" zoomScalePageLayoutView="100" workbookViewId="0">
      <selection pane="topLeft" activeCell="C50" activeCellId="0" sqref="C50"/>
    </sheetView>
  </sheetViews>
  <sheetFormatPr defaultRowHeight="15"/>
  <cols>
    <col collapsed="false" hidden="false" max="1" min="1" style="1" width="11.5204081632653"/>
    <col collapsed="false" hidden="false" max="2" min="2" style="1" width="54.5816326530612"/>
    <col collapsed="false" hidden="false" max="3" min="3" style="1" width="14.234693877551"/>
    <col collapsed="false" hidden="false" max="4" min="4" style="1" width="21.1479591836735"/>
    <col collapsed="false" hidden="false" max="5" min="5" style="1" width="14.6581632653061"/>
    <col collapsed="false" hidden="false" max="1025" min="6" style="1" width="11.5204081632653"/>
  </cols>
  <sheetData>
    <row r="1" s="8" customFormat="true" ht="14.5" hidden="false" customHeight="true" outlineLevel="0" collapsed="false">
      <c r="B1" s="8" t="s">
        <v>43</v>
      </c>
      <c r="C1" s="8" t="s">
        <v>44</v>
      </c>
      <c r="D1" s="9" t="s">
        <v>45</v>
      </c>
      <c r="E1" s="8" t="s">
        <v>46</v>
      </c>
      <c r="G1" s="9"/>
    </row>
    <row r="2" customFormat="false" ht="14.5" hidden="false" customHeight="true" outlineLevel="0" collapsed="false">
      <c r="B2" s="1" t="s">
        <v>47</v>
      </c>
      <c r="C2" s="4" t="n">
        <f aca="false">IF(OR(Datos!B2="x",Datos!B2="X"),'Tablas de Sueldos'!G2, IF(OR(Datos!B3="x",Datos!B3="X"),'Tablas de Sueldos'!G3, IF(OR(Datos!B4="x",Datos!B4="X"),'Tablas de Sueldos'!G4, IF(OR(Datos!B5="x",Datos!B5="X"),'Tablas de Sueldos'!G5, IF(OR(Datos!B6="x",Datos!B6="X"),'Tablas de Sueldos'!G6, IF(OR(Datos!B7="x",Datos!B7="X"),'Tablas de Sueldos'!G7, IF(OR(Datos!B8="x",Datos!B8="X"),'Tablas de Sueldos'!G8, IF(OR(Datos!B9="x",Datos!B9="X"),'Tablas de Sueldos'!G9, IF(OR(Datos!B10="x",Datos!B10="X"),'Tablas de Sueldos'!G10, IF(OR(Datos!B11="x",Datos!B11="X"),'Tablas de Sueldos'!G11,0 ))))))))))</f>
        <v>389266.584</v>
      </c>
      <c r="D2" s="0"/>
      <c r="E2" s="0"/>
      <c r="G2" s="0"/>
      <c r="H2" s="0"/>
      <c r="I2" s="0"/>
      <c r="J2" s="0"/>
    </row>
    <row r="3" customFormat="false" ht="14.5" hidden="false" customHeight="true" outlineLevel="0" collapsed="false">
      <c r="B3" s="1" t="s">
        <v>48</v>
      </c>
      <c r="C3" s="4" t="n">
        <f aca="false">'Tablas de Sueldos'!G15*Datos!B16</f>
        <v>4116</v>
      </c>
      <c r="D3" s="0"/>
      <c r="E3" s="0"/>
      <c r="G3" s="0"/>
      <c r="H3" s="0"/>
      <c r="I3" s="0"/>
      <c r="J3" s="0"/>
    </row>
    <row r="4" customFormat="false" ht="14.5" hidden="false" customHeight="true" outlineLevel="0" collapsed="false">
      <c r="B4" s="1" t="s">
        <v>49</v>
      </c>
      <c r="C4" s="4" t="n">
        <f aca="false">'Tablas de Sueldos'!G14</f>
        <v>2551.92</v>
      </c>
      <c r="D4" s="0"/>
      <c r="E4" s="0"/>
      <c r="G4" s="0"/>
      <c r="H4" s="0"/>
      <c r="I4" s="6"/>
      <c r="J4" s="0"/>
    </row>
    <row r="5" customFormat="false" ht="14.5" hidden="false" customHeight="true" outlineLevel="0" collapsed="false">
      <c r="B5" s="1" t="s">
        <v>50</v>
      </c>
      <c r="C5" s="4" t="n">
        <f aca="false">IF(Datos!B15&gt;5,5,Datos!B15)*'Tablas de Sueldos'!G13</f>
        <v>2963.52</v>
      </c>
      <c r="D5" s="0"/>
      <c r="E5" s="0"/>
      <c r="G5" s="0"/>
      <c r="H5" s="0"/>
      <c r="I5" s="6"/>
      <c r="J5" s="0"/>
    </row>
    <row r="6" customFormat="false" ht="14.5" hidden="false" customHeight="true" outlineLevel="0" collapsed="false">
      <c r="B6" s="1" t="s">
        <v>51</v>
      </c>
      <c r="C6" s="4" t="n">
        <f aca="false">Datos!B15*'Tablas de Sueldos'!G16</f>
        <v>3087</v>
      </c>
      <c r="D6" s="0"/>
      <c r="E6" s="0"/>
      <c r="G6" s="0"/>
      <c r="H6" s="0"/>
      <c r="I6" s="0"/>
      <c r="J6" s="0"/>
    </row>
    <row r="7" customFormat="false" ht="14.5" hidden="false" customHeight="true" outlineLevel="0" collapsed="false">
      <c r="B7" s="1" t="s">
        <v>52</v>
      </c>
      <c r="C7" s="4" t="n">
        <f aca="false">'Tablas de Sueldos'!G17</f>
        <v>2675.4</v>
      </c>
      <c r="D7" s="0"/>
      <c r="E7" s="0"/>
      <c r="G7" s="0"/>
      <c r="H7" s="0"/>
      <c r="I7" s="6"/>
      <c r="J7" s="0"/>
    </row>
    <row r="8" customFormat="false" ht="14.5" hidden="false" customHeight="true" outlineLevel="0" collapsed="false">
      <c r="B8" s="1" t="s">
        <v>53</v>
      </c>
      <c r="C8" s="4" t="n">
        <f aca="false">Datos!B18*'Tablas de Sueldos'!G22</f>
        <v>0</v>
      </c>
      <c r="D8" s="0"/>
      <c r="E8" s="0"/>
      <c r="G8" s="0"/>
      <c r="H8" s="0"/>
      <c r="I8" s="6"/>
      <c r="J8" s="0"/>
    </row>
    <row r="9" customFormat="false" ht="14.5" hidden="false" customHeight="true" outlineLevel="0" collapsed="false">
      <c r="B9" s="1" t="s">
        <v>54</v>
      </c>
      <c r="C9" s="0"/>
      <c r="D9" s="6" t="n">
        <f aca="false">Datos!B13/100*C27</f>
        <v>14770.105476</v>
      </c>
      <c r="E9" s="0"/>
      <c r="G9" s="0"/>
      <c r="H9" s="11"/>
      <c r="I9" s="0"/>
      <c r="J9" s="0"/>
    </row>
    <row r="10" customFormat="false" ht="14.5" hidden="false" customHeight="true" outlineLevel="0" collapsed="false">
      <c r="B10" s="1" t="s">
        <v>55</v>
      </c>
      <c r="C10" s="0"/>
      <c r="D10" s="6" t="n">
        <v>0.51</v>
      </c>
      <c r="E10" s="0"/>
      <c r="G10" s="0"/>
      <c r="H10" s="11"/>
      <c r="I10" s="6"/>
      <c r="J10" s="0"/>
    </row>
    <row r="11" customFormat="false" ht="14.5" hidden="false" customHeight="true" outlineLevel="0" collapsed="false">
      <c r="B11" s="1" t="s">
        <v>56</v>
      </c>
      <c r="C11" s="0"/>
      <c r="D11" s="6" t="n">
        <f aca="false">((C2+C3)*0.0175)</f>
        <v>6884.19522</v>
      </c>
      <c r="E11" s="0"/>
      <c r="G11" s="0"/>
      <c r="H11" s="11"/>
      <c r="I11" s="6"/>
      <c r="J11" s="6"/>
    </row>
    <row r="12" customFormat="false" ht="14.5" hidden="false" customHeight="true" outlineLevel="0" collapsed="false">
      <c r="B12" s="1" t="s">
        <v>57</v>
      </c>
      <c r="C12" s="0"/>
      <c r="D12" s="6" t="n">
        <f aca="false">(C2+C3+C4+C5+C7)*0.01</f>
        <v>4015.73424</v>
      </c>
      <c r="E12" s="0"/>
      <c r="G12" s="0"/>
      <c r="H12" s="11"/>
      <c r="I12" s="6"/>
    </row>
    <row r="13" customFormat="false" ht="14.5" hidden="false" customHeight="true" outlineLevel="0" collapsed="false">
      <c r="B13" s="1" t="s">
        <v>58</v>
      </c>
      <c r="C13" s="0"/>
      <c r="D13" s="6" t="n">
        <f aca="false">(C2+C3)*0.04</f>
        <v>15735.30336</v>
      </c>
      <c r="E13" s="0"/>
      <c r="G13" s="0"/>
      <c r="H13" s="11"/>
      <c r="I13" s="6"/>
    </row>
    <row r="14" customFormat="false" ht="14.5" hidden="false" customHeight="true" outlineLevel="0" collapsed="false">
      <c r="B14" s="1" t="s">
        <v>59</v>
      </c>
      <c r="C14" s="0"/>
      <c r="D14" s="6" t="n">
        <f aca="false">(C2+C3)*0.005</f>
        <v>1966.91292</v>
      </c>
      <c r="E14" s="0"/>
      <c r="G14" s="0"/>
      <c r="H14" s="11"/>
      <c r="I14" s="6"/>
    </row>
    <row r="15" customFormat="false" ht="14.5" hidden="false" customHeight="true" outlineLevel="0" collapsed="false">
      <c r="B15" s="1" t="s">
        <v>60</v>
      </c>
      <c r="C15" s="0"/>
      <c r="D15" s="6" t="n">
        <f aca="false">(C2+C3)*0.06</f>
        <v>23602.95504</v>
      </c>
      <c r="E15" s="0"/>
      <c r="G15" s="0"/>
      <c r="H15" s="11"/>
      <c r="I15" s="6"/>
    </row>
    <row r="16" customFormat="false" ht="14.5" hidden="false" customHeight="true" outlineLevel="0" collapsed="false">
      <c r="B16" s="1" t="s">
        <v>61</v>
      </c>
      <c r="C16" s="0"/>
      <c r="D16" s="6" t="n">
        <f aca="false">(C2+C3)*0.1</f>
        <v>39338.2584</v>
      </c>
      <c r="E16" s="0"/>
      <c r="G16" s="0"/>
      <c r="H16" s="11"/>
      <c r="I16" s="6"/>
    </row>
    <row r="17" customFormat="false" ht="14.5" hidden="false" customHeight="true" outlineLevel="0" collapsed="false">
      <c r="B17" s="1" t="s">
        <v>62</v>
      </c>
      <c r="C17" s="0"/>
      <c r="D17" s="6" t="n">
        <v>237.28</v>
      </c>
      <c r="E17" s="0"/>
      <c r="G17" s="0"/>
      <c r="H17" s="12"/>
      <c r="I17" s="6"/>
    </row>
    <row r="18" customFormat="false" ht="14.5" hidden="false" customHeight="true" outlineLevel="0" collapsed="false">
      <c r="B18" s="1" t="s">
        <v>63</v>
      </c>
      <c r="C18" s="0"/>
      <c r="D18" s="6" t="n">
        <v>760.98</v>
      </c>
      <c r="E18" s="2" t="s">
        <v>64</v>
      </c>
      <c r="G18" s="0"/>
      <c r="H18" s="12"/>
      <c r="I18" s="6"/>
    </row>
    <row r="19" customFormat="false" ht="14.5" hidden="false" customHeight="true" outlineLevel="0" collapsed="false">
      <c r="B19" s="1" t="s">
        <v>65</v>
      </c>
      <c r="C19" s="0"/>
      <c r="D19" s="6" t="n">
        <f aca="false">(C2+C3)*0.015</f>
        <v>5900.73876</v>
      </c>
      <c r="E19" s="2" t="s">
        <v>66</v>
      </c>
      <c r="G19" s="0"/>
      <c r="H19" s="12"/>
      <c r="I19" s="6"/>
    </row>
    <row r="20" customFormat="false" ht="14.5" hidden="false" customHeight="true" outlineLevel="0" collapsed="false">
      <c r="B20" s="1" t="s">
        <v>67</v>
      </c>
      <c r="C20" s="0"/>
      <c r="D20" s="6" t="n">
        <v>10.61</v>
      </c>
      <c r="E20" s="0"/>
      <c r="G20" s="0"/>
      <c r="H20" s="12"/>
      <c r="I20" s="6"/>
    </row>
    <row r="21" customFormat="false" ht="14.5" hidden="false" customHeight="true" outlineLevel="0" collapsed="false">
      <c r="B21" s="1" t="s">
        <v>68</v>
      </c>
      <c r="C21" s="0"/>
      <c r="D21" s="6" t="n">
        <v>500</v>
      </c>
      <c r="E21" s="0"/>
      <c r="G21" s="0"/>
      <c r="H21" s="12"/>
      <c r="I21" s="6"/>
    </row>
    <row r="22" customFormat="false" ht="14.5" hidden="false" customHeight="true" outlineLevel="0" collapsed="false">
      <c r="B22" s="1" t="s">
        <v>69</v>
      </c>
      <c r="C22" s="0"/>
      <c r="D22" s="6" t="n">
        <v>26.53</v>
      </c>
      <c r="E22" s="0"/>
      <c r="G22" s="0"/>
      <c r="H22" s="12"/>
      <c r="I22" s="6"/>
    </row>
    <row r="23" customFormat="false" ht="14.5" hidden="false" customHeight="true" outlineLevel="0" collapsed="false">
      <c r="B23" s="1" t="s">
        <v>70</v>
      </c>
      <c r="C23" s="0"/>
      <c r="D23" s="0"/>
      <c r="E23" s="6" t="n">
        <f aca="false">(C2+C3)*0.1</f>
        <v>39338.2584</v>
      </c>
      <c r="G23" s="0"/>
      <c r="H23" s="12"/>
    </row>
    <row r="24" customFormat="false" ht="14.5" hidden="false" customHeight="true" outlineLevel="0" collapsed="false">
      <c r="B24" s="1" t="s">
        <v>71</v>
      </c>
      <c r="C24" s="0"/>
      <c r="D24" s="0"/>
      <c r="E24" s="6" t="n">
        <f aca="false">(SUM(C2:C8))*0.02</f>
        <v>8093.20848</v>
      </c>
      <c r="G24" s="0"/>
      <c r="H24" s="12"/>
    </row>
    <row r="25" customFormat="false" ht="14.5" hidden="false" customHeight="true" outlineLevel="0" collapsed="false">
      <c r="B25" s="1" t="s">
        <v>72</v>
      </c>
      <c r="C25" s="0"/>
      <c r="D25" s="0"/>
      <c r="E25" s="6" t="n">
        <f aca="false">(C2+C3)*0.06</f>
        <v>23602.95504</v>
      </c>
      <c r="G25" s="0"/>
      <c r="H25" s="12"/>
    </row>
    <row r="26" customFormat="false" ht="14.5" hidden="false" customHeight="true" outlineLevel="0" collapsed="false">
      <c r="B26" s="1" t="s">
        <v>73</v>
      </c>
      <c r="C26" s="0"/>
      <c r="D26" s="0"/>
      <c r="E26" s="1" t="n">
        <v>77.65</v>
      </c>
      <c r="G26" s="0"/>
      <c r="H26" s="12"/>
    </row>
    <row r="27" customFormat="false" ht="14.5" hidden="false" customHeight="true" outlineLevel="0" collapsed="false">
      <c r="B27" s="2" t="s">
        <v>74</v>
      </c>
      <c r="C27" s="13" t="n">
        <f aca="false">SUM(C2:C7)</f>
        <v>404660.424</v>
      </c>
      <c r="D27" s="13" t="n">
        <f aca="false">SUM(D9:D22)</f>
        <v>113750.113416</v>
      </c>
      <c r="E27" s="13" t="n">
        <f aca="false">SUM(E23:E26)</f>
        <v>71112.07192</v>
      </c>
      <c r="G27" s="0"/>
      <c r="H27" s="12"/>
    </row>
    <row r="28" customFormat="false" ht="14.5" hidden="false" customHeight="true" outlineLevel="0" collapsed="false">
      <c r="B28" s="0"/>
      <c r="C28" s="0"/>
      <c r="D28" s="0"/>
      <c r="E28" s="0"/>
      <c r="G28" s="13"/>
    </row>
    <row r="29" customFormat="false" ht="14.5" hidden="false" customHeight="true" outlineLevel="0" collapsed="false">
      <c r="B29" s="2" t="s">
        <v>75</v>
      </c>
      <c r="C29" s="13" t="n">
        <f aca="false">C27-D27</f>
        <v>290910.310584</v>
      </c>
      <c r="D29" s="13" t="s">
        <v>76</v>
      </c>
      <c r="E29" s="13" t="n">
        <f aca="false">'Tablas de Sueldos'!G23*'Tablas de Sueldos'!G25</f>
        <v>4500</v>
      </c>
    </row>
    <row r="30" customFormat="false" ht="14.5" hidden="false" customHeight="true" outlineLevel="0" collapsed="false">
      <c r="B30" s="2" t="s">
        <v>77</v>
      </c>
      <c r="C30" s="13" t="n">
        <f aca="false">IF(OR(Datos!B17="Si",Datos!B17="si",Datos!B17="SI"),(C2+C3+C4+C5)*12*0.19,0)</f>
        <v>909487.49472</v>
      </c>
      <c r="D30" s="13" t="n">
        <f aca="false">C30/12</f>
        <v>75790.62456</v>
      </c>
      <c r="E30" s="0"/>
    </row>
    <row r="31" customFormat="false" ht="14.5" hidden="false" customHeight="true" outlineLevel="0" collapsed="false">
      <c r="B31" s="2" t="s">
        <v>78</v>
      </c>
      <c r="C31" s="13" t="n">
        <f aca="false">3.75*(SUM(C2:C5) +C7+ E23)</f>
        <v>1653418.809</v>
      </c>
      <c r="E31" s="0"/>
    </row>
    <row r="32" customFormat="false" ht="14.5" hidden="false" customHeight="true" outlineLevel="0" collapsed="false">
      <c r="B32" s="2" t="s">
        <v>79</v>
      </c>
      <c r="C32" s="13" t="n">
        <f aca="false">3.75*(SUM(C2:C5) +C7+ E23)</f>
        <v>1653418.809</v>
      </c>
      <c r="E32" s="0"/>
    </row>
    <row r="33" customFormat="false" ht="14.5" hidden="false" customHeight="true" outlineLevel="0" collapsed="false">
      <c r="B33" s="2" t="s">
        <v>80</v>
      </c>
      <c r="C33" s="2" t="n">
        <f aca="false">'Tablas de Sueldos'!G19*'Tablas de Sueldos'!G25</f>
        <v>6750</v>
      </c>
      <c r="E33" s="0"/>
    </row>
    <row r="34" customFormat="false" ht="14.5" hidden="false" customHeight="true" outlineLevel="0" collapsed="false">
      <c r="B34" s="2" t="s">
        <v>81</v>
      </c>
      <c r="C34" s="13" t="n">
        <f aca="false">C27*12+C30+C32+C33</f>
        <v>7425581.39172</v>
      </c>
      <c r="E34" s="6"/>
    </row>
    <row r="35" customFormat="false" ht="15" hidden="false" customHeight="false" outlineLevel="0" collapsed="false">
      <c r="B35" s="0"/>
      <c r="C35" s="0"/>
    </row>
    <row r="36" customFormat="false" ht="14.5" hidden="false" customHeight="true" outlineLevel="0" collapsed="false">
      <c r="B36" s="2" t="s">
        <v>82</v>
      </c>
      <c r="C36" s="2" t="n">
        <f aca="false">Datos!B15*'Tablas de Sueldos'!G20</f>
        <v>18110.4</v>
      </c>
    </row>
    <row r="37" customFormat="false" ht="14.5" hidden="false" customHeight="true" outlineLevel="0" collapsed="false">
      <c r="B37" s="2" t="s">
        <v>24</v>
      </c>
      <c r="C37" s="2" t="n">
        <f aca="false">Datos!B19*'Tablas de Sueldos'!G21</f>
        <v>7408.8</v>
      </c>
    </row>
    <row r="38" customFormat="false" ht="15" hidden="false" customHeight="false" outlineLevel="0" collapsed="false">
      <c r="B38" s="0"/>
      <c r="C38" s="0"/>
    </row>
    <row r="39" customFormat="false" ht="15" hidden="false" customHeight="false" outlineLevel="0" collapsed="false">
      <c r="B39" s="0"/>
      <c r="C39" s="0"/>
    </row>
    <row r="40" customFormat="false" ht="15" hidden="false" customHeight="false" outlineLevel="0" collapsed="false">
      <c r="B40" s="0"/>
      <c r="C40" s="0"/>
    </row>
    <row r="41" customFormat="false" ht="14.5" hidden="false" customHeight="true" outlineLevel="0" collapsed="false">
      <c r="B41" s="2" t="s">
        <v>83</v>
      </c>
      <c r="C41" s="13" t="n">
        <f aca="false">C27*12+C30 + C31*2</f>
        <v>9072250.20072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14246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2013-02-22T11:37:06Z</dcterms:created>
  <dc:language>en-US</dc:language>
  <dcterms:modified xsi:type="dcterms:W3CDTF">2015-04-14T10:51:07Z</dcterms:modified>
  <cp:revision>23</cp:revision>
</cp:coreProperties>
</file>