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0" windowWidth="14500" windowHeight="9520" activeTab="1"/>
  </bookViews>
  <sheets>
    <sheet name="1er iter" sheetId="1" r:id="rId1"/>
    <sheet name="2da iter" sheetId="2" r:id="rId2"/>
    <sheet name="3era iter" sheetId="3" r:id="rId3"/>
    <sheet name="Final" sheetId="4" r:id="rId4"/>
  </sheets>
  <definedNames>
    <definedName name="_xlnm.Print_Area" localSheetId="0">'1er iter'!$A$1:$J$33</definedName>
    <definedName name="_xlnm.Print_Area" localSheetId="1">'2da iter'!$A$1:$M$33</definedName>
    <definedName name="_xlnm.Print_Area" localSheetId="2">'3era iter'!$A$1:$M$30</definedName>
    <definedName name="_xlnm.Print_Area" localSheetId="3">'Final'!$A$4:$M$32</definedName>
  </definedNames>
  <calcPr fullCalcOnLoad="1"/>
</workbook>
</file>

<file path=xl/sharedStrings.xml><?xml version="1.0" encoding="utf-8"?>
<sst xmlns="http://schemas.openxmlformats.org/spreadsheetml/2006/main" count="320" uniqueCount="100">
  <si>
    <r>
      <t xml:space="preserve">En este se tiene un intercambiador de tipo 1-2, 12", con los fluidos del problema </t>
    </r>
    <r>
      <rPr>
        <b/>
        <sz val="10"/>
        <rFont val="Arial"/>
        <family val="0"/>
      </rPr>
      <t xml:space="preserve">pasesydc.xls </t>
    </r>
  </si>
  <si>
    <t xml:space="preserve">Esta hoja contiene la primera iteración la cual es necesaria ya que no se conocen </t>
  </si>
  <si>
    <t>las temperaturas de salida del fluido.</t>
  </si>
  <si>
    <t>Fluido frío</t>
  </si>
  <si>
    <t>Fluido caliente</t>
  </si>
  <si>
    <t>Carga térmica, W:</t>
  </si>
  <si>
    <t>Evaluación térmica:</t>
  </si>
  <si>
    <t>Agua</t>
  </si>
  <si>
    <t>Etilén glicol</t>
  </si>
  <si>
    <t>Asignación</t>
  </si>
  <si>
    <t>Carcaza</t>
  </si>
  <si>
    <t>Tubos</t>
  </si>
  <si>
    <t>Configuración preliminar:</t>
  </si>
  <si>
    <t>Lado tubos:</t>
  </si>
  <si>
    <t>Lado carcaza:</t>
  </si>
  <si>
    <t>m, kg/s:</t>
  </si>
  <si>
    <t>v, m/s:</t>
  </si>
  <si>
    <r>
      <t>G,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s: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</si>
  <si>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ºC:</t>
    </r>
  </si>
  <si>
    <t>Np:</t>
  </si>
  <si>
    <t>Re: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</si>
  <si>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ºC:</t>
    </r>
  </si>
  <si>
    <t>Tubos 3/4 OD, BWG 16</t>
  </si>
  <si>
    <t>f:</t>
  </si>
  <si>
    <t>Tp, ºC:</t>
  </si>
  <si>
    <t>Tm, ºC:</t>
  </si>
  <si>
    <t>k, W/m K:</t>
  </si>
  <si>
    <t>Nu:</t>
  </si>
  <si>
    <t>Gnielinski</t>
  </si>
  <si>
    <r>
      <t>µ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, Pa.s:</t>
    </r>
  </si>
  <si>
    <r>
      <t>r</t>
    </r>
    <r>
      <rPr>
        <sz val="10"/>
        <rFont val="Arial"/>
        <family val="0"/>
      </rPr>
      <t>,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:</t>
    </r>
  </si>
  <si>
    <t>do, m:</t>
  </si>
  <si>
    <t>hi, W/m2 K:</t>
  </si>
  <si>
    <r>
      <t>(µ/µ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)^0.14:</t>
    </r>
  </si>
  <si>
    <t>Cp, J/kg K:</t>
  </si>
  <si>
    <t>di, m:</t>
  </si>
  <si>
    <t>Kern</t>
  </si>
  <si>
    <t>µ, Pa.s:</t>
  </si>
  <si>
    <t>do/di:</t>
  </si>
  <si>
    <r>
      <t>ho,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</si>
  <si>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t>k, W/m k:</t>
  </si>
  <si>
    <t>Pt, m:</t>
  </si>
  <si>
    <t>Pr:</t>
  </si>
  <si>
    <t>B, fracción de Dc:</t>
  </si>
  <si>
    <r>
      <t>Rst,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K/W:</t>
    </r>
  </si>
  <si>
    <r>
      <t>Rs,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K/W:</t>
    </r>
  </si>
  <si>
    <t>Deflectores:</t>
  </si>
  <si>
    <t>Corte 25 %</t>
  </si>
  <si>
    <r>
      <t>Uol,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</si>
  <si>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r>
      <t>Aos,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</si>
  <si>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C, J/s K:</t>
  </si>
  <si>
    <r>
      <t>e</t>
    </r>
    <r>
      <rPr>
        <sz val="10"/>
        <rFont val="Arial"/>
        <family val="0"/>
      </rPr>
      <t>, mm:</t>
    </r>
  </si>
  <si>
    <r>
      <t>Uos,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</si>
  <si>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r>
      <t>e</t>
    </r>
    <r>
      <rPr>
        <sz val="10"/>
        <rFont val="Arial"/>
        <family val="0"/>
      </rPr>
      <t>/di:</t>
    </r>
  </si>
  <si>
    <t>C*:</t>
  </si>
  <si>
    <r>
      <t>e</t>
    </r>
    <r>
      <rPr>
        <sz val="10"/>
        <rFont val="Arial"/>
        <family val="0"/>
      </rPr>
      <t>:</t>
    </r>
  </si>
  <si>
    <t>L, m:</t>
  </si>
  <si>
    <t>NTU: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</si>
  <si>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:</t>
    </r>
  </si>
  <si>
    <t>mt, kg/s:</t>
  </si>
  <si>
    <t>Nt:</t>
  </si>
  <si>
    <t>Evaluación hidrodinámica:</t>
  </si>
  <si>
    <t>Configuración comercial:</t>
  </si>
  <si>
    <t>Dc, m,</t>
  </si>
  <si>
    <r>
      <t>e/</t>
    </r>
    <r>
      <rPr>
        <sz val="10"/>
        <rFont val="Arial"/>
        <family val="2"/>
      </rPr>
      <t>di</t>
    </r>
    <r>
      <rPr>
        <sz val="10"/>
        <rFont val="Symbol"/>
        <family val="1"/>
      </rPr>
      <t>:</t>
    </r>
  </si>
  <si>
    <t>B, m:</t>
  </si>
  <si>
    <t>A:</t>
  </si>
  <si>
    <t>Deq, m:</t>
  </si>
  <si>
    <t>B:</t>
  </si>
  <si>
    <r>
      <t>Ac,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</si>
  <si>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P), Pa:</t>
    </r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</si>
  <si>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P/L), Pa/m:</t>
    </r>
  </si>
  <si>
    <t>El flujo de etilén glicol se duplica. Evaluar el desempeño térmico e hidrodinámico en estas condiciones.</t>
  </si>
  <si>
    <t>Se usa el máximo flujo para el fluido de servicio que es 15 kg/s</t>
  </si>
  <si>
    <t>Carcaza-tubo 1-2, arreglo triangular</t>
  </si>
  <si>
    <t>Características intercambiador:</t>
  </si>
  <si>
    <t>Primera iteración, se usan las propiedades para la temp media del caso anterior.</t>
  </si>
  <si>
    <r>
      <t>e</t>
    </r>
    <r>
      <rPr>
        <sz val="10"/>
        <rFont val="Arial"/>
        <family val="0"/>
      </rPr>
      <t>/Deq:</t>
    </r>
  </si>
  <si>
    <r>
      <t xml:space="preserve">Primer estimado de </t>
    </r>
    <r>
      <rPr>
        <sz val="10"/>
        <rFont val="Symbol"/>
        <family val="1"/>
      </rPr>
      <t>e</t>
    </r>
    <r>
      <rPr>
        <sz val="10"/>
        <rFont val="Arial"/>
        <family val="0"/>
      </rPr>
      <t>, con U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0"/>
      </rPr>
      <t xml:space="preserve"> del caso anterior:</t>
    </r>
  </si>
  <si>
    <r>
      <t>U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0"/>
      </rPr>
      <t>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</si>
  <si>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r>
      <t>(1+C*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1/2</t>
    </r>
  </si>
  <si>
    <t>e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</si>
  <si>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, ºC:</t>
    </r>
  </si>
  <si>
    <r>
      <t>T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0"/>
      </rPr>
      <t>, ºC:</t>
    </r>
  </si>
  <si>
    <t>Segunda iteración</t>
  </si>
  <si>
    <t>Carga, W:</t>
  </si>
  <si>
    <r>
      <t>T</t>
    </r>
    <r>
      <rPr>
        <vertAlign val="subscript"/>
        <sz val="10"/>
        <rFont val="Arial"/>
        <family val="2"/>
      </rPr>
      <t>c2</t>
    </r>
    <r>
      <rPr>
        <sz val="10"/>
        <rFont val="Arial"/>
        <family val="0"/>
      </rPr>
      <t>, ºC:</t>
    </r>
  </si>
  <si>
    <t>Tm,ºC:</t>
  </si>
  <si>
    <t>Cpc, J/kg K:</t>
  </si>
  <si>
    <r>
      <t>Iteración T</t>
    </r>
    <r>
      <rPr>
        <vertAlign val="subscript"/>
        <sz val="10"/>
        <rFont val="Arial"/>
        <family val="2"/>
      </rPr>
      <t>c2</t>
    </r>
    <r>
      <rPr>
        <sz val="10"/>
        <rFont val="Arial"/>
        <family val="0"/>
      </rPr>
      <t>:</t>
    </r>
  </si>
  <si>
    <r>
      <t>Segundo estimado, nuevo cálculo de U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0"/>
      </rPr>
      <t>.</t>
    </r>
  </si>
  <si>
    <r>
      <t>Tercer estimado, nuevo cálculo de U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0"/>
      </rPr>
      <t>.</t>
    </r>
  </si>
  <si>
    <t>Evaluación final desempeño</t>
  </si>
  <si>
    <t>LMTD:</t>
  </si>
  <si>
    <t>Fc:</t>
  </si>
  <si>
    <t>R:</t>
  </si>
  <si>
    <t>P:</t>
  </si>
  <si>
    <r>
      <t>Rst,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K/W:</t>
    </r>
  </si>
  <si>
    <r>
      <t>e/</t>
    </r>
    <r>
      <rPr>
        <sz val="10"/>
        <rFont val="Arial"/>
        <family val="2"/>
      </rPr>
      <t>Deq</t>
    </r>
    <r>
      <rPr>
        <sz val="10"/>
        <rFont val="Symbol"/>
        <family val="1"/>
      </rPr>
      <t>:</t>
    </r>
  </si>
  <si>
    <t>CF: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</si>
</sst>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0.00000000"/>
  </numFmts>
  <fonts count="7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125" zoomScaleNormal="125" workbookViewId="0" topLeftCell="A1">
      <selection activeCell="A5" sqref="A5"/>
    </sheetView>
  </sheetViews>
  <sheetFormatPr defaultColWidth="11.421875" defaultRowHeight="12.75"/>
  <cols>
    <col min="1" max="1" width="15.421875" style="0" customWidth="1"/>
    <col min="3" max="3" width="4.28125" style="0" customWidth="1"/>
    <col min="6" max="6" width="4.28125" style="0" customWidth="1"/>
    <col min="8" max="8" width="3.8515625" style="0" customWidth="1"/>
    <col min="9" max="9" width="13.00390625" style="0" customWidth="1"/>
  </cols>
  <sheetData>
    <row r="1" spans="1:6" ht="12">
      <c r="A1" t="s">
        <v>0</v>
      </c>
      <c r="B1" s="1"/>
      <c r="C1" s="1"/>
      <c r="D1" s="1"/>
      <c r="E1" s="1"/>
      <c r="F1" s="2"/>
    </row>
    <row r="2" spans="1:6" ht="12">
      <c r="A2" t="s">
        <v>72</v>
      </c>
      <c r="B2" s="1"/>
      <c r="C2" s="1"/>
      <c r="D2" s="1"/>
      <c r="E2" s="1"/>
      <c r="F2" s="2"/>
    </row>
    <row r="3" spans="1:12" ht="12">
      <c r="A3" t="s">
        <v>73</v>
      </c>
      <c r="B3" s="1"/>
      <c r="C3" s="1"/>
      <c r="D3" s="1"/>
      <c r="E3" s="1"/>
      <c r="F3" s="2"/>
      <c r="L3" s="26"/>
    </row>
    <row r="4" spans="1:6" ht="12">
      <c r="A4" t="s">
        <v>1</v>
      </c>
      <c r="B4" s="1"/>
      <c r="C4" s="1"/>
      <c r="D4" s="1"/>
      <c r="E4" s="1"/>
      <c r="F4" s="2"/>
    </row>
    <row r="5" spans="1:9" ht="12">
      <c r="A5" t="s">
        <v>2</v>
      </c>
      <c r="B5" s="1"/>
      <c r="C5" s="1"/>
      <c r="D5" s="1"/>
      <c r="E5" s="1"/>
      <c r="F5" s="2"/>
      <c r="G5" s="2"/>
      <c r="I5" t="s">
        <v>76</v>
      </c>
    </row>
    <row r="6" spans="2:9" ht="12">
      <c r="B6" s="1"/>
      <c r="C6" s="1"/>
      <c r="D6" s="1"/>
      <c r="E6" s="1"/>
      <c r="F6" s="2"/>
      <c r="I6" t="s">
        <v>78</v>
      </c>
    </row>
    <row r="7" spans="1:10" ht="12">
      <c r="A7" s="2" t="s">
        <v>75</v>
      </c>
      <c r="E7" s="1" t="s">
        <v>3</v>
      </c>
      <c r="F7" s="1"/>
      <c r="G7" s="1" t="s">
        <v>4</v>
      </c>
      <c r="H7" s="1"/>
      <c r="I7" s="2" t="s">
        <v>79</v>
      </c>
      <c r="J7" s="22">
        <v>1237.7155290094206</v>
      </c>
    </row>
    <row r="8" spans="1:20" ht="12">
      <c r="A8" s="2" t="s">
        <v>74</v>
      </c>
      <c r="E8" s="1" t="s">
        <v>7</v>
      </c>
      <c r="F8" s="1"/>
      <c r="G8" s="1" t="s">
        <v>8</v>
      </c>
      <c r="H8" s="1"/>
      <c r="I8" t="s">
        <v>57</v>
      </c>
      <c r="J8">
        <v>0.63</v>
      </c>
      <c r="P8" s="2"/>
      <c r="Q8" s="4"/>
      <c r="T8" s="5"/>
    </row>
    <row r="9" spans="1:20" ht="12">
      <c r="A9" s="2" t="s">
        <v>19</v>
      </c>
      <c r="B9">
        <v>2</v>
      </c>
      <c r="E9" s="1" t="s">
        <v>10</v>
      </c>
      <c r="F9" s="1"/>
      <c r="G9" s="1" t="s">
        <v>11</v>
      </c>
      <c r="H9" s="1"/>
      <c r="I9" t="s">
        <v>54</v>
      </c>
      <c r="J9" s="14">
        <f>E13/G13</f>
        <v>0.9766046946406314</v>
      </c>
      <c r="P9" s="2"/>
      <c r="Q9" s="6"/>
      <c r="T9" s="6"/>
    </row>
    <row r="10" spans="1:17" ht="12">
      <c r="A10" s="2" t="s">
        <v>22</v>
      </c>
      <c r="D10" t="s">
        <v>15</v>
      </c>
      <c r="E10" s="3">
        <v>15</v>
      </c>
      <c r="F10" s="1"/>
      <c r="G10" s="3">
        <f>41500/3600*2</f>
        <v>23.055555555555557</v>
      </c>
      <c r="H10" s="1"/>
      <c r="I10" t="s">
        <v>80</v>
      </c>
      <c r="J10" s="14">
        <f>SQRT(1+J9^2)</f>
        <v>1.3977684821150178</v>
      </c>
      <c r="Q10" s="7"/>
    </row>
    <row r="11" spans="1:20" ht="12">
      <c r="A11" s="2" t="s">
        <v>26</v>
      </c>
      <c r="B11">
        <v>54</v>
      </c>
      <c r="D11" t="s">
        <v>18</v>
      </c>
      <c r="E11" s="1">
        <v>35</v>
      </c>
      <c r="F11" s="1"/>
      <c r="G11" s="1">
        <v>140</v>
      </c>
      <c r="H11" s="1"/>
      <c r="I11" s="9" t="s">
        <v>81</v>
      </c>
      <c r="J11" s="4">
        <f>2*(1+J9+J10*((1+EXP(-J8*J10))/(1-EXP(-J8*J10))))^(-1)</f>
        <v>0.3735699947067947</v>
      </c>
      <c r="Q11" s="5"/>
      <c r="T11" s="8"/>
    </row>
    <row r="12" spans="1:20" ht="12">
      <c r="A12" s="2" t="s">
        <v>31</v>
      </c>
      <c r="B12" s="10">
        <f>3/4*0.0254</f>
        <v>0.019049999999999997</v>
      </c>
      <c r="D12" t="s">
        <v>34</v>
      </c>
      <c r="E12" s="1">
        <v>4179</v>
      </c>
      <c r="F12" s="1"/>
      <c r="G12" s="1">
        <v>2784</v>
      </c>
      <c r="H12" s="1"/>
      <c r="I12" s="9" t="s">
        <v>82</v>
      </c>
      <c r="J12" s="5">
        <f>J11*(G11-E11)</f>
        <v>39.22484944421344</v>
      </c>
      <c r="Q12" s="6"/>
      <c r="T12" s="4"/>
    </row>
    <row r="13" spans="1:20" ht="12">
      <c r="A13" s="2" t="s">
        <v>35</v>
      </c>
      <c r="B13" s="10">
        <f>0.62*0.0254</f>
        <v>0.015747999999999998</v>
      </c>
      <c r="D13" t="s">
        <v>50</v>
      </c>
      <c r="E13" s="1">
        <f>E10*E12</f>
        <v>62685</v>
      </c>
      <c r="F13" s="1"/>
      <c r="G13" s="15">
        <f>G10*G12</f>
        <v>64186.66666666667</v>
      </c>
      <c r="H13" s="1"/>
      <c r="I13" t="s">
        <v>83</v>
      </c>
      <c r="J13" s="5">
        <f>J12+E11</f>
        <v>74.22484944421345</v>
      </c>
      <c r="T13" s="5"/>
    </row>
    <row r="14" spans="1:20" ht="12">
      <c r="A14" s="2" t="s">
        <v>38</v>
      </c>
      <c r="B14" s="12">
        <v>1.21</v>
      </c>
      <c r="E14" s="1"/>
      <c r="F14" s="1"/>
      <c r="G14" s="1"/>
      <c r="H14" s="1"/>
      <c r="T14" s="6"/>
    </row>
    <row r="15" spans="1:19" ht="12">
      <c r="A15" s="2" t="s">
        <v>41</v>
      </c>
      <c r="B15" s="12">
        <f>0.0254*1</f>
        <v>0.0254</v>
      </c>
      <c r="D15" t="s">
        <v>84</v>
      </c>
      <c r="E15" s="1"/>
      <c r="F15" s="1"/>
      <c r="G15" s="1"/>
      <c r="H15" s="1"/>
      <c r="Q15" s="8"/>
      <c r="S15" s="14"/>
    </row>
    <row r="16" spans="1:19" ht="12">
      <c r="A16" s="2" t="s">
        <v>43</v>
      </c>
      <c r="B16" s="12">
        <v>0.4</v>
      </c>
      <c r="D16" t="s">
        <v>15</v>
      </c>
      <c r="E16" s="3">
        <f>E10</f>
        <v>15</v>
      </c>
      <c r="F16" s="1"/>
      <c r="G16" s="3">
        <f>41500/3600*2</f>
        <v>23.055555555555557</v>
      </c>
      <c r="H16" s="1"/>
      <c r="Q16" s="6"/>
      <c r="S16" s="14"/>
    </row>
    <row r="17" spans="1:19" ht="12">
      <c r="A17" s="2" t="s">
        <v>46</v>
      </c>
      <c r="B17" s="12" t="s">
        <v>47</v>
      </c>
      <c r="D17" t="s">
        <v>18</v>
      </c>
      <c r="E17" s="1">
        <v>35</v>
      </c>
      <c r="F17" s="1"/>
      <c r="G17" s="1">
        <v>140</v>
      </c>
      <c r="H17" s="1"/>
      <c r="Q17" s="6"/>
      <c r="S17" s="14"/>
    </row>
    <row r="18" spans="1:19" ht="12">
      <c r="A18" s="16" t="s">
        <v>51</v>
      </c>
      <c r="B18" s="12">
        <v>0.045</v>
      </c>
      <c r="D18" t="s">
        <v>21</v>
      </c>
      <c r="E18" s="1">
        <v>74.2</v>
      </c>
      <c r="F18" s="1"/>
      <c r="G18" s="13">
        <v>102.47197013405736</v>
      </c>
      <c r="H18" s="1"/>
      <c r="Q18" s="4"/>
      <c r="S18" s="6"/>
    </row>
    <row r="19" spans="1:19" ht="12">
      <c r="A19" s="16" t="s">
        <v>53</v>
      </c>
      <c r="B19" s="10">
        <f>B18/(B13*1000)</f>
        <v>0.0028575057150114305</v>
      </c>
      <c r="D19" t="s">
        <v>25</v>
      </c>
      <c r="E19" s="1">
        <f>(E17+E18)/2</f>
        <v>54.6</v>
      </c>
      <c r="F19" s="1"/>
      <c r="G19" s="13">
        <v>121.23598506702868</v>
      </c>
      <c r="H19" s="1"/>
      <c r="P19" s="16"/>
      <c r="Q19" s="4"/>
      <c r="S19" s="5"/>
    </row>
    <row r="20" spans="1:19" ht="12">
      <c r="A20" s="16" t="s">
        <v>77</v>
      </c>
      <c r="B20" s="10">
        <f>B18/(B24*1000)</f>
        <v>0.0024599228649199232</v>
      </c>
      <c r="D20" s="9" t="s">
        <v>30</v>
      </c>
      <c r="E20" s="1">
        <v>985.7</v>
      </c>
      <c r="F20" s="1"/>
      <c r="G20" s="1">
        <v>1044</v>
      </c>
      <c r="H20" s="1"/>
      <c r="Q20" s="14"/>
      <c r="S20" s="14"/>
    </row>
    <row r="21" spans="1:19" ht="12">
      <c r="A21" s="2" t="s">
        <v>63</v>
      </c>
      <c r="B21" s="12">
        <f>C21*0.0254</f>
        <v>0.30479999999999996</v>
      </c>
      <c r="C21">
        <v>12</v>
      </c>
      <c r="D21" t="s">
        <v>34</v>
      </c>
      <c r="E21" s="1">
        <v>4179</v>
      </c>
      <c r="F21" s="1"/>
      <c r="G21" s="1">
        <v>2840</v>
      </c>
      <c r="H21" s="1"/>
      <c r="Q21" s="14"/>
      <c r="S21" s="6"/>
    </row>
    <row r="22" spans="1:8" ht="12">
      <c r="A22" s="2" t="s">
        <v>60</v>
      </c>
      <c r="B22">
        <v>82</v>
      </c>
      <c r="D22" t="s">
        <v>37</v>
      </c>
      <c r="E22" s="1">
        <v>0.000513</v>
      </c>
      <c r="F22" s="1"/>
      <c r="G22" s="11">
        <f>0.0000012*G20</f>
        <v>0.0012527999999999999</v>
      </c>
      <c r="H22" s="1"/>
    </row>
    <row r="23" spans="1:8" ht="12">
      <c r="A23" s="2" t="s">
        <v>65</v>
      </c>
      <c r="B23">
        <f>B16*B21</f>
        <v>0.12191999999999999</v>
      </c>
      <c r="D23" t="s">
        <v>40</v>
      </c>
      <c r="E23" s="1">
        <v>0.649</v>
      </c>
      <c r="F23" s="1"/>
      <c r="G23" s="1">
        <v>0.264</v>
      </c>
      <c r="H23" s="1"/>
    </row>
    <row r="24" spans="1:8" ht="12">
      <c r="A24" s="2" t="s">
        <v>67</v>
      </c>
      <c r="B24" s="4">
        <f>4/(3.1416*B12)*(SQRT(3)/2*B15^2-3.1416*B12^2/4)</f>
        <v>0.018293256525124767</v>
      </c>
      <c r="D24" t="s">
        <v>42</v>
      </c>
      <c r="E24" s="1">
        <v>3.3</v>
      </c>
      <c r="F24" s="1"/>
      <c r="G24" s="13">
        <f>G22*G21/G23</f>
        <v>13.477090909090908</v>
      </c>
      <c r="H24" s="1"/>
    </row>
    <row r="25" spans="1:20" ht="12">
      <c r="A25" s="2" t="s">
        <v>69</v>
      </c>
      <c r="B25" s="7">
        <f>(B15-B12)/B15*B21*B23</f>
        <v>0.009290304</v>
      </c>
      <c r="D25" t="s">
        <v>50</v>
      </c>
      <c r="E25" s="1">
        <f>E16*E21</f>
        <v>62685</v>
      </c>
      <c r="F25" s="1"/>
      <c r="G25" s="15">
        <f>G16*G21</f>
        <v>65477.77777777778</v>
      </c>
      <c r="H25" s="1"/>
      <c r="P25" s="16"/>
      <c r="Q25" s="10"/>
      <c r="S25" s="16"/>
      <c r="T25" s="8"/>
    </row>
    <row r="26" spans="1:20" ht="12">
      <c r="A26" s="2" t="s">
        <v>49</v>
      </c>
      <c r="B26" s="21">
        <v>16.429857942195927</v>
      </c>
      <c r="E26" s="1"/>
      <c r="F26" s="1"/>
      <c r="G26" s="1"/>
      <c r="H26" s="1"/>
      <c r="Q26" s="6"/>
      <c r="T26" s="6"/>
    </row>
    <row r="27" spans="1:8" ht="12">
      <c r="A27" s="2" t="s">
        <v>56</v>
      </c>
      <c r="B27">
        <v>3.35</v>
      </c>
      <c r="D27" t="s">
        <v>85</v>
      </c>
      <c r="E27">
        <f>E16*E21*(E18-E17)</f>
        <v>2457252</v>
      </c>
      <c r="H27" s="1"/>
    </row>
    <row r="28" spans="1:8" ht="12">
      <c r="A28" s="2" t="s">
        <v>58</v>
      </c>
      <c r="B28">
        <v>26</v>
      </c>
      <c r="D28" t="s">
        <v>89</v>
      </c>
      <c r="H28" s="1"/>
    </row>
    <row r="29" spans="4:17" ht="12">
      <c r="D29" t="s">
        <v>86</v>
      </c>
      <c r="E29" s="13">
        <f>G17-E27/(G16*2784)</f>
        <v>101.71709597008726</v>
      </c>
      <c r="N29" s="8"/>
      <c r="O29" s="14"/>
      <c r="Q29" s="8"/>
    </row>
    <row r="30" spans="4:17" ht="12">
      <c r="D30" t="s">
        <v>87</v>
      </c>
      <c r="E30" s="13">
        <f>(E29+G17)/2</f>
        <v>120.85854798504363</v>
      </c>
      <c r="F30" s="2"/>
      <c r="N30" s="6"/>
      <c r="Q30" s="5"/>
    </row>
    <row r="31" spans="4:17" ht="12">
      <c r="D31" t="s">
        <v>88</v>
      </c>
      <c r="E31" s="1">
        <v>2840</v>
      </c>
      <c r="F31" s="2"/>
      <c r="N31" s="6"/>
      <c r="Q31" s="6"/>
    </row>
    <row r="32" spans="4:5" ht="12">
      <c r="D32" t="s">
        <v>86</v>
      </c>
      <c r="E32" s="13">
        <f>G17-E27/(G16*E31)</f>
        <v>102.47197013405736</v>
      </c>
    </row>
    <row r="33" spans="4:5" ht="12">
      <c r="D33" t="s">
        <v>87</v>
      </c>
      <c r="E33" s="13">
        <f>(E32+G17)/2</f>
        <v>121.23598506702868</v>
      </c>
    </row>
  </sheetData>
  <printOptions/>
  <pageMargins left="0.75" right="0.75" top="1" bottom="1" header="0" footer="0"/>
  <pageSetup horizontalDpi="360" verticalDpi="3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M29" sqref="M29"/>
    </sheetView>
  </sheetViews>
  <sheetFormatPr defaultColWidth="11.421875" defaultRowHeight="12.75"/>
  <cols>
    <col min="1" max="1" width="10.00390625" style="0" customWidth="1"/>
    <col min="3" max="3" width="4.8515625" style="0" customWidth="1"/>
    <col min="5" max="5" width="4.421875" style="0" customWidth="1"/>
    <col min="6" max="6" width="10.7109375" style="0" customWidth="1"/>
    <col min="7" max="7" width="11.421875" style="0" bestFit="1" customWidth="1"/>
    <col min="8" max="8" width="2.7109375" style="0" customWidth="1"/>
    <col min="10" max="10" width="12.421875" style="0" bestFit="1" customWidth="1"/>
    <col min="11" max="11" width="5.421875" style="0" customWidth="1"/>
    <col min="12" max="12" width="11.421875" style="0" bestFit="1" customWidth="1"/>
    <col min="13" max="13" width="12.421875" style="0" bestFit="1" customWidth="1"/>
  </cols>
  <sheetData>
    <row r="1" ht="12">
      <c r="A1" t="s">
        <v>90</v>
      </c>
    </row>
    <row r="3" spans="2:9" ht="12">
      <c r="B3" s="1" t="s">
        <v>3</v>
      </c>
      <c r="C3" s="1"/>
      <c r="D3" s="1" t="s">
        <v>4</v>
      </c>
      <c r="F3" s="2" t="s">
        <v>5</v>
      </c>
      <c r="G3" s="2">
        <f>D6*D11*(D7-D8)</f>
        <v>2457252</v>
      </c>
      <c r="I3" t="s">
        <v>6</v>
      </c>
    </row>
    <row r="4" spans="2:6" ht="12">
      <c r="B4" s="1" t="s">
        <v>7</v>
      </c>
      <c r="C4" s="1"/>
      <c r="D4" s="1" t="s">
        <v>8</v>
      </c>
      <c r="F4" s="2"/>
    </row>
    <row r="5" spans="1:12" ht="12">
      <c r="A5" t="s">
        <v>9</v>
      </c>
      <c r="B5" s="1" t="s">
        <v>10</v>
      </c>
      <c r="C5" s="1"/>
      <c r="D5" s="1" t="s">
        <v>11</v>
      </c>
      <c r="F5" s="2" t="s">
        <v>12</v>
      </c>
      <c r="I5" t="s">
        <v>13</v>
      </c>
      <c r="L5" t="s">
        <v>14</v>
      </c>
    </row>
    <row r="6" spans="1:13" ht="12">
      <c r="A6" t="s">
        <v>15</v>
      </c>
      <c r="B6" s="3">
        <v>15</v>
      </c>
      <c r="C6" s="1"/>
      <c r="D6" s="3">
        <v>23.055555555555557</v>
      </c>
      <c r="F6" s="2" t="s">
        <v>74</v>
      </c>
      <c r="I6" s="2" t="s">
        <v>16</v>
      </c>
      <c r="J6" s="4">
        <f>D6*(G7/G24)/(D10*3.1416/4*G11^2)</f>
        <v>2.765346312643961</v>
      </c>
      <c r="L6" t="s">
        <v>17</v>
      </c>
      <c r="M6" s="5">
        <f>B6/G27</f>
        <v>1614.5865625064584</v>
      </c>
    </row>
    <row r="7" spans="1:13" ht="12">
      <c r="A7" t="s">
        <v>18</v>
      </c>
      <c r="B7" s="1">
        <v>35</v>
      </c>
      <c r="C7" s="1"/>
      <c r="D7" s="1">
        <v>140</v>
      </c>
      <c r="F7" s="2" t="s">
        <v>19</v>
      </c>
      <c r="G7">
        <v>2</v>
      </c>
      <c r="I7" s="2" t="s">
        <v>20</v>
      </c>
      <c r="J7" s="6">
        <f>D10*J6*G11/D12</f>
        <v>36290.56144293091</v>
      </c>
      <c r="L7" t="s">
        <v>20</v>
      </c>
      <c r="M7" s="6">
        <f>M6*G26/B12</f>
        <v>57575.138732846084</v>
      </c>
    </row>
    <row r="8" spans="1:13" ht="12">
      <c r="A8" t="s">
        <v>21</v>
      </c>
      <c r="B8" s="1">
        <v>74.2</v>
      </c>
      <c r="C8" s="1"/>
      <c r="D8" s="13">
        <v>102.47197013405736</v>
      </c>
      <c r="F8" s="2" t="s">
        <v>22</v>
      </c>
      <c r="I8" t="s">
        <v>23</v>
      </c>
      <c r="J8" s="7">
        <f>(1.58*LN(J7)-3.28)^(-2)</f>
        <v>0.005645660133921195</v>
      </c>
      <c r="L8" t="s">
        <v>24</v>
      </c>
      <c r="M8" s="5">
        <f>(B9+D9)/2</f>
        <v>87.91799253351434</v>
      </c>
    </row>
    <row r="9" spans="1:13" ht="12">
      <c r="A9" t="s">
        <v>25</v>
      </c>
      <c r="B9" s="1">
        <v>54.6</v>
      </c>
      <c r="C9" s="1"/>
      <c r="D9" s="13">
        <v>121.23598506702868</v>
      </c>
      <c r="F9" s="2" t="s">
        <v>26</v>
      </c>
      <c r="G9">
        <v>54</v>
      </c>
      <c r="I9" t="s">
        <v>27</v>
      </c>
      <c r="J9" s="5">
        <f>(J8/2)*(J7-1000)*D14/(1+12.7*SQRT(J8/2)*(D14^(2/3)-1))</f>
        <v>323.7829238352459</v>
      </c>
      <c r="K9" t="s">
        <v>28</v>
      </c>
      <c r="L9" t="s">
        <v>29</v>
      </c>
      <c r="M9" s="8">
        <f>0.000327</f>
        <v>0.000327</v>
      </c>
    </row>
    <row r="10" spans="1:13" ht="12">
      <c r="A10" s="9" t="s">
        <v>30</v>
      </c>
      <c r="B10" s="1">
        <v>985.7</v>
      </c>
      <c r="C10" s="1"/>
      <c r="D10" s="1">
        <v>1044</v>
      </c>
      <c r="F10" s="2" t="s">
        <v>31</v>
      </c>
      <c r="G10" s="10">
        <f>3/4*0.0254</f>
        <v>0.019049999999999997</v>
      </c>
      <c r="I10" t="s">
        <v>32</v>
      </c>
      <c r="J10" s="6">
        <f>J9*D13/G11</f>
        <v>5427.907790989645</v>
      </c>
      <c r="L10" t="s">
        <v>33</v>
      </c>
      <c r="M10" s="4">
        <f>(B12/M9)^0.14</f>
        <v>1.0650739084917216</v>
      </c>
    </row>
    <row r="11" spans="1:14" ht="12">
      <c r="A11" t="s">
        <v>34</v>
      </c>
      <c r="B11" s="1">
        <v>4179</v>
      </c>
      <c r="C11" s="1"/>
      <c r="D11" s="1">
        <v>2840</v>
      </c>
      <c r="F11" s="2" t="s">
        <v>35</v>
      </c>
      <c r="G11" s="10">
        <f>0.62*0.0254</f>
        <v>0.015747999999999998</v>
      </c>
      <c r="L11" t="s">
        <v>27</v>
      </c>
      <c r="M11" s="5">
        <f>0.36*M7^0.55*B14^(1/3)*M10</f>
        <v>236.94604971358427</v>
      </c>
      <c r="N11" t="s">
        <v>36</v>
      </c>
    </row>
    <row r="12" spans="1:13" ht="12">
      <c r="A12" t="s">
        <v>37</v>
      </c>
      <c r="B12" s="1">
        <v>0.000513</v>
      </c>
      <c r="C12" s="1"/>
      <c r="D12" s="11">
        <v>0.0012527999999999999</v>
      </c>
      <c r="F12" s="2" t="s">
        <v>38</v>
      </c>
      <c r="G12" s="12">
        <v>1.21</v>
      </c>
      <c r="L12" t="s">
        <v>39</v>
      </c>
      <c r="M12" s="6">
        <f>M11*B13/G26</f>
        <v>8406.266322943142</v>
      </c>
    </row>
    <row r="13" spans="1:12" ht="12">
      <c r="A13" t="s">
        <v>40</v>
      </c>
      <c r="B13" s="1">
        <v>0.649</v>
      </c>
      <c r="C13" s="1"/>
      <c r="D13" s="1">
        <v>0.264</v>
      </c>
      <c r="F13" s="2" t="s">
        <v>41</v>
      </c>
      <c r="G13" s="12">
        <f>0.0254*1</f>
        <v>0.0254</v>
      </c>
      <c r="I13" t="s">
        <v>44</v>
      </c>
      <c r="J13" s="8">
        <f>0.00009</f>
        <v>9E-05</v>
      </c>
      <c r="L13" s="14"/>
    </row>
    <row r="14" spans="1:12" ht="12">
      <c r="A14" t="s">
        <v>42</v>
      </c>
      <c r="B14" s="1">
        <v>3.3</v>
      </c>
      <c r="C14" s="1"/>
      <c r="D14" s="13">
        <v>13.477090909090908</v>
      </c>
      <c r="F14" s="2" t="s">
        <v>43</v>
      </c>
      <c r="G14" s="12">
        <v>0.4</v>
      </c>
      <c r="I14" t="s">
        <v>48</v>
      </c>
      <c r="J14" s="6">
        <f>1/(1/M12+G12/J10+G10*LN(G12)/(2*G9))</f>
        <v>2663.086207011366</v>
      </c>
      <c r="L14" s="14"/>
    </row>
    <row r="15" spans="1:12" ht="12">
      <c r="A15" t="s">
        <v>50</v>
      </c>
      <c r="B15" s="1">
        <v>62685</v>
      </c>
      <c r="C15" s="1"/>
      <c r="D15" s="15">
        <v>65477.77777777778</v>
      </c>
      <c r="F15" s="2" t="s">
        <v>46</v>
      </c>
      <c r="G15" s="12" t="s">
        <v>47</v>
      </c>
      <c r="I15" t="s">
        <v>52</v>
      </c>
      <c r="J15" s="6">
        <f>(1/J14+J13)^(-1)</f>
        <v>2148.2084263189604</v>
      </c>
      <c r="L15" s="14"/>
    </row>
    <row r="16" spans="6:12" ht="12">
      <c r="F16" s="16" t="s">
        <v>51</v>
      </c>
      <c r="G16" s="12">
        <v>0.045</v>
      </c>
      <c r="I16" t="s">
        <v>49</v>
      </c>
      <c r="J16" s="4">
        <v>16.43</v>
      </c>
      <c r="L16" s="6"/>
    </row>
    <row r="17" spans="6:12" ht="12">
      <c r="F17" s="16" t="s">
        <v>53</v>
      </c>
      <c r="G17" s="10">
        <f>G16/(G11*1000)</f>
        <v>0.0028575057150114305</v>
      </c>
      <c r="I17" t="s">
        <v>57</v>
      </c>
      <c r="J17" s="4">
        <f>J15*J16/B15</f>
        <v>0.563054390115985</v>
      </c>
      <c r="L17" s="5"/>
    </row>
    <row r="18" spans="6:12" ht="12">
      <c r="F18" s="2" t="s">
        <v>23</v>
      </c>
      <c r="G18" s="10">
        <v>0.0065</v>
      </c>
      <c r="I18" t="s">
        <v>54</v>
      </c>
      <c r="J18" s="4">
        <f>B15/D15</f>
        <v>0.9573477006618021</v>
      </c>
      <c r="L18" s="14"/>
    </row>
    <row r="19" spans="6:12" ht="12">
      <c r="F19" s="2" t="s">
        <v>16</v>
      </c>
      <c r="G19" s="17">
        <f>SQRT(1000/(2*G18*D10/G11))</f>
        <v>1.0771861915957586</v>
      </c>
      <c r="I19" t="s">
        <v>80</v>
      </c>
      <c r="J19" s="14">
        <f>SQRT(1+J18^2)</f>
        <v>1.38438239658067</v>
      </c>
      <c r="L19" s="6"/>
    </row>
    <row r="20" spans="6:10" ht="12">
      <c r="F20" s="2" t="s">
        <v>59</v>
      </c>
      <c r="G20" s="17">
        <f>D10*G19*3.1416/4*G11^2</f>
        <v>0.21904481900415737</v>
      </c>
      <c r="I20" s="9" t="s">
        <v>55</v>
      </c>
      <c r="J20" s="4">
        <f>2*(1+J18+J19*((1+EXP(-J17*J19))/(1-EXP(-J17*J19))))^(-1)</f>
        <v>0.3516509836098557</v>
      </c>
    </row>
    <row r="21" spans="6:10" ht="12">
      <c r="F21" s="2" t="s">
        <v>60</v>
      </c>
      <c r="G21" s="18">
        <f>D6/G20*G7</f>
        <v>210.50993728473418</v>
      </c>
      <c r="I21" s="9" t="s">
        <v>82</v>
      </c>
      <c r="J21" s="5">
        <f>J20*(D7-B7)</f>
        <v>36.92335327903485</v>
      </c>
    </row>
    <row r="22" spans="6:10" ht="12">
      <c r="F22" s="2" t="s">
        <v>62</v>
      </c>
      <c r="G22" s="12"/>
      <c r="I22" t="s">
        <v>83</v>
      </c>
      <c r="J22" s="5">
        <f>J21+B7</f>
        <v>71.92335327903484</v>
      </c>
    </row>
    <row r="23" spans="6:13" ht="12">
      <c r="F23" s="2" t="s">
        <v>63</v>
      </c>
      <c r="G23" s="12">
        <f>H23*0.0254</f>
        <v>0.30479999999999996</v>
      </c>
      <c r="H23">
        <v>12</v>
      </c>
      <c r="L23" s="16"/>
      <c r="M23" s="8"/>
    </row>
    <row r="24" spans="6:13" ht="12">
      <c r="F24" s="2" t="s">
        <v>60</v>
      </c>
      <c r="G24">
        <v>82</v>
      </c>
      <c r="I24" t="s">
        <v>84</v>
      </c>
      <c r="J24" s="1"/>
      <c r="K24" s="1"/>
      <c r="L24" t="s">
        <v>85</v>
      </c>
      <c r="M24" s="6">
        <f>J25*J29*(J27-J26)</f>
        <v>2312582.8378378386</v>
      </c>
    </row>
    <row r="25" spans="6:12" ht="12">
      <c r="F25" s="2" t="s">
        <v>65</v>
      </c>
      <c r="G25">
        <f>G14*G23</f>
        <v>0.12191999999999999</v>
      </c>
      <c r="I25" t="s">
        <v>15</v>
      </c>
      <c r="J25" s="3">
        <v>15</v>
      </c>
      <c r="K25" s="3">
        <f>41500/3600*2</f>
        <v>23.055555555555557</v>
      </c>
      <c r="L25" t="s">
        <v>89</v>
      </c>
    </row>
    <row r="26" spans="6:13" ht="12">
      <c r="F26" s="2" t="s">
        <v>67</v>
      </c>
      <c r="G26" s="4">
        <f>4/(3.1416*G10)*(SQRT(3)/2*G13^2-3.1416*G10^2/4)</f>
        <v>0.018293256525124767</v>
      </c>
      <c r="I26" t="s">
        <v>18</v>
      </c>
      <c r="J26" s="1">
        <v>35</v>
      </c>
      <c r="K26" s="1">
        <v>140</v>
      </c>
      <c r="L26" t="s">
        <v>86</v>
      </c>
      <c r="M26" s="13">
        <f>K26-M24/(K25*2840)</f>
        <v>104.6814092303741</v>
      </c>
    </row>
    <row r="27" spans="6:13" ht="12">
      <c r="F27" s="2" t="s">
        <v>69</v>
      </c>
      <c r="G27" s="7">
        <f>(G13-G10)/G13*G23*G25</f>
        <v>0.009290304</v>
      </c>
      <c r="I27" t="s">
        <v>21</v>
      </c>
      <c r="J27" s="1">
        <v>71.9</v>
      </c>
      <c r="K27" s="13">
        <v>113.1</v>
      </c>
      <c r="L27" t="s">
        <v>87</v>
      </c>
      <c r="M27" s="13">
        <f>(M26+K26)/2</f>
        <v>122.34070461518705</v>
      </c>
    </row>
    <row r="28" spans="6:13" ht="12">
      <c r="F28" s="2"/>
      <c r="I28" t="s">
        <v>25</v>
      </c>
      <c r="J28" s="1">
        <f>(J26+J27)/2</f>
        <v>53.45</v>
      </c>
      <c r="K28" s="13">
        <f>(K26+K27)/2</f>
        <v>126.55</v>
      </c>
      <c r="L28" t="s">
        <v>88</v>
      </c>
      <c r="M28" s="1">
        <v>2848</v>
      </c>
    </row>
    <row r="29" spans="6:13" ht="12">
      <c r="F29" s="2"/>
      <c r="I29" t="s">
        <v>34</v>
      </c>
      <c r="J29" s="15">
        <f>4179-(4179-4174)/(54.44-48.89)*(54.44-53.45)</f>
        <v>4178.108108108108</v>
      </c>
      <c r="K29" s="1">
        <v>2860</v>
      </c>
      <c r="L29" t="s">
        <v>86</v>
      </c>
      <c r="M29" s="13">
        <f>K26-M24/(K25*M28)</f>
        <v>104.78061875500788</v>
      </c>
    </row>
    <row r="30" spans="10:13" ht="12">
      <c r="J30" s="1"/>
      <c r="K30" s="1"/>
      <c r="L30" t="s">
        <v>87</v>
      </c>
      <c r="M30" s="13">
        <f>(M29+K26)/2</f>
        <v>122.39030937750394</v>
      </c>
    </row>
    <row r="31" ht="12">
      <c r="L31" s="1"/>
    </row>
    <row r="34" ht="12">
      <c r="K34" s="2"/>
    </row>
    <row r="35" ht="12">
      <c r="K35" s="2"/>
    </row>
  </sheetData>
  <printOptions/>
  <pageMargins left="0.75" right="0.75" top="1" bottom="1" header="0" footer="0"/>
  <pageSetup horizontalDpi="360" verticalDpi="36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20" sqref="B20"/>
    </sheetView>
  </sheetViews>
  <sheetFormatPr defaultColWidth="11.421875" defaultRowHeight="12.75"/>
  <cols>
    <col min="1" max="1" width="9.28125" style="0" customWidth="1"/>
    <col min="2" max="2" width="10.421875" style="0" customWidth="1"/>
    <col min="3" max="3" width="3.28125" style="0" customWidth="1"/>
    <col min="4" max="4" width="9.140625" style="0" customWidth="1"/>
    <col min="5" max="5" width="4.8515625" style="0" customWidth="1"/>
    <col min="6" max="6" width="10.140625" style="0" customWidth="1"/>
    <col min="7" max="7" width="10.421875" style="0" customWidth="1"/>
    <col min="8" max="8" width="9.140625" style="0" customWidth="1"/>
    <col min="11" max="11" width="7.421875" style="0" customWidth="1"/>
  </cols>
  <sheetData>
    <row r="1" ht="12">
      <c r="A1" t="s">
        <v>91</v>
      </c>
    </row>
    <row r="3" spans="2:9" ht="12">
      <c r="B3" s="1" t="s">
        <v>3</v>
      </c>
      <c r="C3" s="1"/>
      <c r="D3" s="1" t="s">
        <v>4</v>
      </c>
      <c r="F3" s="2" t="s">
        <v>5</v>
      </c>
      <c r="G3" s="2">
        <f>D6*D11*(D7-D8)</f>
        <v>2311310.222222223</v>
      </c>
      <c r="I3" t="s">
        <v>6</v>
      </c>
    </row>
    <row r="4" spans="2:6" ht="12">
      <c r="B4" s="1" t="s">
        <v>7</v>
      </c>
      <c r="C4" s="1"/>
      <c r="D4" s="1" t="s">
        <v>8</v>
      </c>
      <c r="F4" s="2"/>
    </row>
    <row r="5" spans="1:12" ht="12">
      <c r="A5" t="s">
        <v>9</v>
      </c>
      <c r="B5" s="1" t="s">
        <v>10</v>
      </c>
      <c r="C5" s="1"/>
      <c r="D5" s="1" t="s">
        <v>11</v>
      </c>
      <c r="F5" s="2" t="s">
        <v>12</v>
      </c>
      <c r="I5" t="s">
        <v>13</v>
      </c>
      <c r="L5" t="s">
        <v>14</v>
      </c>
    </row>
    <row r="6" spans="1:13" ht="12">
      <c r="A6" t="s">
        <v>15</v>
      </c>
      <c r="B6" s="3">
        <v>15</v>
      </c>
      <c r="C6" s="1"/>
      <c r="D6" s="3">
        <v>23.055555555555557</v>
      </c>
      <c r="F6" s="2" t="s">
        <v>74</v>
      </c>
      <c r="I6" s="2" t="s">
        <v>16</v>
      </c>
      <c r="J6" s="4">
        <f>D6*(G7/G24)/(D10*3.1416/4*G11^2)</f>
        <v>2.765346312643961</v>
      </c>
      <c r="L6" t="s">
        <v>17</v>
      </c>
      <c r="M6" s="5">
        <f>B6/G27</f>
        <v>1614.5865625064584</v>
      </c>
    </row>
    <row r="7" spans="1:13" ht="12">
      <c r="A7" t="s">
        <v>18</v>
      </c>
      <c r="B7" s="1">
        <v>35</v>
      </c>
      <c r="C7" s="1"/>
      <c r="D7" s="1">
        <v>140</v>
      </c>
      <c r="F7" s="2" t="s">
        <v>19</v>
      </c>
      <c r="G7">
        <v>2</v>
      </c>
      <c r="I7" s="2" t="s">
        <v>20</v>
      </c>
      <c r="J7" s="6">
        <f>D10*J6*G11/D12</f>
        <v>36905.655704675504</v>
      </c>
      <c r="L7" t="s">
        <v>20</v>
      </c>
      <c r="M7" s="6">
        <f>M6*G26/B12</f>
        <v>53385.52403389013</v>
      </c>
    </row>
    <row r="8" spans="1:13" ht="12">
      <c r="A8" t="s">
        <v>21</v>
      </c>
      <c r="B8" s="1">
        <v>71.9</v>
      </c>
      <c r="C8" s="1"/>
      <c r="D8" s="13">
        <v>104.8</v>
      </c>
      <c r="F8" s="2" t="s">
        <v>22</v>
      </c>
      <c r="I8" t="s">
        <v>23</v>
      </c>
      <c r="J8" s="7">
        <f>(1.58*LN(J7)-3.28)^(-2)</f>
        <v>0.005623197838954578</v>
      </c>
      <c r="L8" t="s">
        <v>24</v>
      </c>
      <c r="M8" s="5">
        <f>(B9+D9)/2</f>
        <v>87.92500000000001</v>
      </c>
    </row>
    <row r="9" spans="1:13" ht="12">
      <c r="A9" t="s">
        <v>25</v>
      </c>
      <c r="B9" s="1">
        <f>(B7+B8)/2</f>
        <v>53.45</v>
      </c>
      <c r="C9" s="1"/>
      <c r="D9" s="13">
        <f>(D7+D8)/2</f>
        <v>122.4</v>
      </c>
      <c r="F9" s="2" t="s">
        <v>26</v>
      </c>
      <c r="G9">
        <v>54</v>
      </c>
      <c r="I9" t="s">
        <v>27</v>
      </c>
      <c r="J9" s="5">
        <f>(J8/2)*(J7-1000)*D14/(1+12.7*SQRT(J8/2)*(D14^(2/3)-1))</f>
        <v>327.0806518005472</v>
      </c>
      <c r="K9" t="s">
        <v>28</v>
      </c>
      <c r="L9" t="s">
        <v>29</v>
      </c>
      <c r="M9" s="8">
        <f>0.000327</f>
        <v>0.000327</v>
      </c>
    </row>
    <row r="10" spans="1:13" ht="12">
      <c r="A10" s="9" t="s">
        <v>30</v>
      </c>
      <c r="B10" s="13">
        <f>985.7+(985.7-988.8)/(54.44-48.89)*(54.44-53.45)</f>
        <v>985.1470270270271</v>
      </c>
      <c r="C10" s="1"/>
      <c r="D10" s="1">
        <v>1044</v>
      </c>
      <c r="F10" s="2" t="s">
        <v>31</v>
      </c>
      <c r="G10" s="10">
        <f>3/4*0.0254</f>
        <v>0.019049999999999997</v>
      </c>
      <c r="I10" t="s">
        <v>32</v>
      </c>
      <c r="J10" s="6">
        <f>J9*D13/G11</f>
        <v>5472.80618170207</v>
      </c>
      <c r="L10" t="s">
        <v>33</v>
      </c>
      <c r="M10" s="4">
        <f>(B12/M9)^0.14</f>
        <v>1.076399167890789</v>
      </c>
    </row>
    <row r="11" spans="1:14" ht="12">
      <c r="A11" t="s">
        <v>34</v>
      </c>
      <c r="B11" s="1">
        <v>4178</v>
      </c>
      <c r="C11" s="1"/>
      <c r="D11" s="1">
        <v>2848</v>
      </c>
      <c r="F11" s="2" t="s">
        <v>35</v>
      </c>
      <c r="G11" s="10">
        <f>0.62*0.0254</f>
        <v>0.015747999999999998</v>
      </c>
      <c r="L11" t="s">
        <v>27</v>
      </c>
      <c r="M11" s="5">
        <f>0.36*M7^0.55*B14^(1/3)*M10</f>
        <v>235.74476693726686</v>
      </c>
      <c r="N11" t="s">
        <v>36</v>
      </c>
    </row>
    <row r="12" spans="1:13" ht="12">
      <c r="A12" t="s">
        <v>37</v>
      </c>
      <c r="B12" s="23">
        <f>(5.62+(5.13-5.62)/(54.44-48.89)*(54.44-53.45))/10000</f>
        <v>0.0005532594594594596</v>
      </c>
      <c r="C12" s="1"/>
      <c r="D12" s="11">
        <f>0.00000118*D10</f>
        <v>0.0012319199999999998</v>
      </c>
      <c r="F12" s="2" t="s">
        <v>38</v>
      </c>
      <c r="G12" s="12">
        <v>1.21</v>
      </c>
      <c r="L12" t="s">
        <v>39</v>
      </c>
      <c r="M12" s="6">
        <f>M11*B13/G26</f>
        <v>8352.153958277082</v>
      </c>
    </row>
    <row r="13" spans="1:12" ht="12">
      <c r="A13" t="s">
        <v>40</v>
      </c>
      <c r="B13" s="24">
        <f>(0.649-(0.649-0.644)/(54.44-48.89)*(54.44-53.45))</f>
        <v>0.6481081081081081</v>
      </c>
      <c r="C13" s="1"/>
      <c r="D13" s="1">
        <v>0.2635</v>
      </c>
      <c r="F13" s="2" t="s">
        <v>41</v>
      </c>
      <c r="G13" s="12">
        <f>0.0254*1</f>
        <v>0.0254</v>
      </c>
      <c r="I13" t="s">
        <v>44</v>
      </c>
      <c r="J13" s="8">
        <f>0.00009</f>
        <v>9E-05</v>
      </c>
      <c r="L13" s="14"/>
    </row>
    <row r="14" spans="1:12" ht="12">
      <c r="A14" t="s">
        <v>42</v>
      </c>
      <c r="B14" s="3">
        <f>B12*B11/B13</f>
        <v>3.566562418682236</v>
      </c>
      <c r="C14" s="1"/>
      <c r="D14" s="13">
        <f>D12*D11/D13</f>
        <v>13.315021480075899</v>
      </c>
      <c r="F14" s="2" t="s">
        <v>43</v>
      </c>
      <c r="G14" s="12">
        <v>0.4</v>
      </c>
      <c r="I14" t="s">
        <v>48</v>
      </c>
      <c r="J14" s="6">
        <f>1/(1/M12+G12/J10+G10*LN(G12)/(2*G9))</f>
        <v>2670.611588687954</v>
      </c>
      <c r="L14" s="14"/>
    </row>
    <row r="15" spans="1:12" ht="12">
      <c r="A15" t="s">
        <v>50</v>
      </c>
      <c r="B15" s="1">
        <f>B6*B11</f>
        <v>62670</v>
      </c>
      <c r="C15" s="1"/>
      <c r="D15" s="15">
        <f>D6*D11</f>
        <v>65662.22222222223</v>
      </c>
      <c r="F15" s="2" t="s">
        <v>46</v>
      </c>
      <c r="G15" s="12" t="s">
        <v>47</v>
      </c>
      <c r="I15" t="s">
        <v>52</v>
      </c>
      <c r="J15" s="6">
        <f>(1/J14+J13)^(-1)</f>
        <v>2153.102536083203</v>
      </c>
      <c r="L15" s="14"/>
    </row>
    <row r="16" spans="6:12" ht="12">
      <c r="F16" s="16" t="s">
        <v>51</v>
      </c>
      <c r="G16" s="12">
        <v>0.045</v>
      </c>
      <c r="I16" t="s">
        <v>49</v>
      </c>
      <c r="J16" s="4">
        <v>16.43</v>
      </c>
      <c r="L16" s="6"/>
    </row>
    <row r="17" spans="6:12" ht="12">
      <c r="F17" s="16" t="s">
        <v>53</v>
      </c>
      <c r="G17" s="10">
        <f>G16/(G11*1000)</f>
        <v>0.0028575057150114305</v>
      </c>
      <c r="I17" t="s">
        <v>57</v>
      </c>
      <c r="J17" s="4">
        <f>J15*J16/B15</f>
        <v>0.5644722302193558</v>
      </c>
      <c r="L17" s="5"/>
    </row>
    <row r="18" spans="6:12" ht="12">
      <c r="F18" s="2" t="s">
        <v>23</v>
      </c>
      <c r="G18" s="10">
        <v>0.0065</v>
      </c>
      <c r="I18" t="s">
        <v>54</v>
      </c>
      <c r="J18" s="4">
        <f>B15/D15</f>
        <v>0.9544300798700418</v>
      </c>
      <c r="L18" s="14"/>
    </row>
    <row r="19" spans="6:12" ht="12">
      <c r="F19" s="2" t="s">
        <v>16</v>
      </c>
      <c r="G19" s="17">
        <f>SQRT(1000/(2*G18*D10/G11))</f>
        <v>1.0771861915957586</v>
      </c>
      <c r="I19" t="s">
        <v>80</v>
      </c>
      <c r="J19" s="14">
        <f>SQRT(1+J18^2)</f>
        <v>1.382366368717329</v>
      </c>
      <c r="L19" s="6"/>
    </row>
    <row r="20" spans="6:10" ht="12">
      <c r="F20" s="2" t="s">
        <v>59</v>
      </c>
      <c r="G20" s="17">
        <f>D10*G19*3.1416/4*G11^2</f>
        <v>0.21904481900415737</v>
      </c>
      <c r="I20" s="9" t="s">
        <v>55</v>
      </c>
      <c r="J20" s="4">
        <f>2*(1+J18+J19*((1+EXP(-J17*J19))/(1-EXP(-J17*J19))))^(-1)</f>
        <v>0.3523891980904584</v>
      </c>
    </row>
    <row r="21" spans="6:10" ht="12">
      <c r="F21" s="2" t="s">
        <v>60</v>
      </c>
      <c r="G21" s="18">
        <f>D6/G20*G7</f>
        <v>210.50993728473418</v>
      </c>
      <c r="I21" s="9" t="s">
        <v>82</v>
      </c>
      <c r="J21" s="5">
        <f>J20*(D7-B7)</f>
        <v>37.00086579949813</v>
      </c>
    </row>
    <row r="22" spans="6:10" ht="12">
      <c r="F22" s="2" t="s">
        <v>62</v>
      </c>
      <c r="G22" s="12"/>
      <c r="I22" t="s">
        <v>83</v>
      </c>
      <c r="J22" s="5">
        <f>J21+B7</f>
        <v>72.00086579949813</v>
      </c>
    </row>
    <row r="23" spans="6:13" ht="12">
      <c r="F23" s="2" t="s">
        <v>63</v>
      </c>
      <c r="G23" s="12">
        <f>H23*0.0254</f>
        <v>0.30479999999999996</v>
      </c>
      <c r="H23">
        <v>12</v>
      </c>
      <c r="L23" s="16"/>
      <c r="M23" s="8"/>
    </row>
    <row r="24" spans="6:13" ht="12">
      <c r="F24" s="2" t="s">
        <v>60</v>
      </c>
      <c r="G24">
        <v>82</v>
      </c>
      <c r="I24" t="s">
        <v>84</v>
      </c>
      <c r="J24" s="1"/>
      <c r="K24" s="1"/>
      <c r="L24" t="s">
        <v>85</v>
      </c>
      <c r="M24">
        <f>J25*J30*(J27-J26)</f>
        <v>2318844.2596545476</v>
      </c>
    </row>
    <row r="25" spans="6:12" ht="12">
      <c r="F25" s="2" t="s">
        <v>65</v>
      </c>
      <c r="G25">
        <f>G14*G23</f>
        <v>0.12191999999999999</v>
      </c>
      <c r="I25" t="s">
        <v>15</v>
      </c>
      <c r="J25" s="3">
        <v>15</v>
      </c>
      <c r="K25" s="3">
        <f>41500/3600*2</f>
        <v>23.055555555555557</v>
      </c>
      <c r="L25" t="s">
        <v>89</v>
      </c>
    </row>
    <row r="26" spans="6:13" ht="12">
      <c r="F26" s="2" t="s">
        <v>67</v>
      </c>
      <c r="G26" s="4">
        <f>4/(3.1416*G10)*(SQRT(3)/2*G13^2-3.1416*G10^2/4)</f>
        <v>0.018293256525124767</v>
      </c>
      <c r="I26" t="s">
        <v>18</v>
      </c>
      <c r="J26" s="1">
        <v>35</v>
      </c>
      <c r="K26" s="1">
        <v>140</v>
      </c>
      <c r="L26" t="s">
        <v>86</v>
      </c>
      <c r="M26" s="13">
        <f>K26-M24/(K25*2848)</f>
        <v>104.6852606997243</v>
      </c>
    </row>
    <row r="27" spans="6:13" ht="12">
      <c r="F27" s="2" t="s">
        <v>69</v>
      </c>
      <c r="G27" s="7">
        <f>(G13-G10)/G13*G23*G25</f>
        <v>0.009290304</v>
      </c>
      <c r="I27" t="s">
        <v>21</v>
      </c>
      <c r="J27" s="13">
        <f>J22</f>
        <v>72.00086579949813</v>
      </c>
      <c r="K27" s="13">
        <v>113.1</v>
      </c>
      <c r="L27" t="s">
        <v>87</v>
      </c>
      <c r="M27" s="13">
        <f>(M26+K26)/2</f>
        <v>122.34263034986215</v>
      </c>
    </row>
    <row r="28" spans="6:13" ht="12">
      <c r="F28" s="2"/>
      <c r="I28" t="s">
        <v>25</v>
      </c>
      <c r="J28" s="13">
        <f>(J26+J27)/2</f>
        <v>53.500432899749065</v>
      </c>
      <c r="K28" s="13">
        <f>(K26+K27)/2</f>
        <v>126.55</v>
      </c>
      <c r="L28" t="s">
        <v>88</v>
      </c>
      <c r="M28" s="1">
        <v>2848</v>
      </c>
    </row>
    <row r="29" spans="6:13" ht="12">
      <c r="F29" s="2"/>
      <c r="I29" s="9" t="s">
        <v>30</v>
      </c>
      <c r="J29" s="13">
        <f>985.7+(985.7-988.8)/(54.44-48.89)*(54.44-53.45)</f>
        <v>985.1470270270271</v>
      </c>
      <c r="K29" s="1">
        <v>1044</v>
      </c>
      <c r="L29" t="s">
        <v>86</v>
      </c>
      <c r="M29" s="13">
        <f>K26-M24/(K25*M28)</f>
        <v>104.6852606997243</v>
      </c>
    </row>
    <row r="30" spans="9:11" ht="12">
      <c r="I30" t="s">
        <v>34</v>
      </c>
      <c r="J30" s="1">
        <v>4178</v>
      </c>
      <c r="K30" s="1">
        <v>2860</v>
      </c>
    </row>
    <row r="31" spans="10:11" ht="12">
      <c r="J31" s="1"/>
      <c r="K31" s="11"/>
    </row>
    <row r="32" spans="10:11" ht="12">
      <c r="J32" s="1"/>
      <c r="K32" s="1"/>
    </row>
    <row r="33" spans="10:11" ht="12">
      <c r="J33" s="1"/>
      <c r="K33" s="13"/>
    </row>
    <row r="34" spans="10:11" ht="12">
      <c r="J34" s="1"/>
      <c r="K34" s="15"/>
    </row>
    <row r="35" spans="10:12" ht="12">
      <c r="J35" s="1"/>
      <c r="K35" s="1"/>
      <c r="L35" s="1"/>
    </row>
    <row r="39" ht="12">
      <c r="K39" s="2"/>
    </row>
    <row r="40" ht="12">
      <c r="K40" s="2"/>
    </row>
  </sheetData>
  <printOptions/>
  <pageMargins left="0.75" right="0.75" top="1" bottom="1" header="0" footer="0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4:N32"/>
  <sheetViews>
    <sheetView workbookViewId="0" topLeftCell="D1">
      <selection activeCell="L16" sqref="L16:M16"/>
    </sheetView>
  </sheetViews>
  <sheetFormatPr defaultColWidth="11.421875" defaultRowHeight="12.75"/>
  <cols>
    <col min="3" max="3" width="2.28125" style="0" customWidth="1"/>
    <col min="5" max="5" width="1.421875" style="0" customWidth="1"/>
    <col min="6" max="6" width="10.28125" style="0" customWidth="1"/>
    <col min="8" max="8" width="3.28125" style="0" customWidth="1"/>
    <col min="11" max="11" width="5.140625" style="0" customWidth="1"/>
  </cols>
  <sheetData>
    <row r="4" spans="1:4" ht="12">
      <c r="A4" t="s">
        <v>92</v>
      </c>
      <c r="B4" s="3"/>
      <c r="C4" s="1"/>
      <c r="D4" s="3"/>
    </row>
    <row r="5" spans="2:9" ht="12">
      <c r="B5" s="1" t="s">
        <v>3</v>
      </c>
      <c r="C5" s="1"/>
      <c r="D5" s="1" t="s">
        <v>4</v>
      </c>
      <c r="E5" s="1"/>
      <c r="F5" s="2" t="s">
        <v>5</v>
      </c>
      <c r="G5" s="2">
        <f>D8*D13*(D9-D10)</f>
        <v>1759747.5555555557</v>
      </c>
      <c r="I5" t="s">
        <v>6</v>
      </c>
    </row>
    <row r="6" spans="2:6" ht="12">
      <c r="B6" s="1" t="s">
        <v>7</v>
      </c>
      <c r="C6" s="1"/>
      <c r="D6" s="1" t="s">
        <v>8</v>
      </c>
      <c r="E6" s="1"/>
      <c r="F6" s="2"/>
    </row>
    <row r="7" spans="1:12" ht="12">
      <c r="A7" t="s">
        <v>9</v>
      </c>
      <c r="B7" s="1" t="s">
        <v>10</v>
      </c>
      <c r="C7" s="1"/>
      <c r="D7" s="1" t="s">
        <v>11</v>
      </c>
      <c r="E7" s="1"/>
      <c r="F7" s="2" t="s">
        <v>12</v>
      </c>
      <c r="I7" t="s">
        <v>13</v>
      </c>
      <c r="L7" t="s">
        <v>14</v>
      </c>
    </row>
    <row r="8" spans="1:13" ht="12">
      <c r="A8" t="s">
        <v>15</v>
      </c>
      <c r="B8" s="3">
        <v>15</v>
      </c>
      <c r="C8" s="1"/>
      <c r="D8" s="3">
        <f>41500/3600*2</f>
        <v>23.055555555555557</v>
      </c>
      <c r="E8" s="1"/>
      <c r="F8" s="2" t="s">
        <v>74</v>
      </c>
      <c r="I8" s="2" t="s">
        <v>16</v>
      </c>
      <c r="J8" s="4">
        <f>D8*(G9/G26)/(D12*3.1416/4*G13^2)</f>
        <v>2.765346312643961</v>
      </c>
      <c r="L8" t="s">
        <v>17</v>
      </c>
      <c r="M8" s="5">
        <f>B8/G29</f>
        <v>1614.5865625064584</v>
      </c>
    </row>
    <row r="9" spans="1:13" ht="12">
      <c r="A9" t="s">
        <v>18</v>
      </c>
      <c r="B9" s="1">
        <v>35</v>
      </c>
      <c r="C9" s="1"/>
      <c r="D9" s="1">
        <v>140</v>
      </c>
      <c r="E9" s="1"/>
      <c r="F9" s="2" t="s">
        <v>19</v>
      </c>
      <c r="G9">
        <v>2</v>
      </c>
      <c r="I9" s="2" t="s">
        <v>20</v>
      </c>
      <c r="J9" s="6">
        <f>D12*J8*G13/D14</f>
        <v>36905.655704675504</v>
      </c>
      <c r="L9" t="s">
        <v>20</v>
      </c>
      <c r="M9" s="6">
        <f>M8*G28/B14</f>
        <v>53385.52403389013</v>
      </c>
    </row>
    <row r="10" spans="1:13" ht="12">
      <c r="A10" t="s">
        <v>21</v>
      </c>
      <c r="B10" s="1">
        <v>72</v>
      </c>
      <c r="C10" s="1"/>
      <c r="D10" s="1">
        <v>113.2</v>
      </c>
      <c r="E10" s="1"/>
      <c r="F10" s="2" t="s">
        <v>22</v>
      </c>
      <c r="I10" t="s">
        <v>23</v>
      </c>
      <c r="J10" s="7">
        <f>(1.58*LN(J9)-3.28)^(-2)</f>
        <v>0.005623197838954578</v>
      </c>
      <c r="L10" t="s">
        <v>24</v>
      </c>
      <c r="M10">
        <f>(B11+D11)/2</f>
        <v>90.05</v>
      </c>
    </row>
    <row r="11" spans="1:13" ht="12">
      <c r="A11" t="s">
        <v>25</v>
      </c>
      <c r="B11" s="1">
        <f>(B9+B10)/2</f>
        <v>53.5</v>
      </c>
      <c r="C11" s="1"/>
      <c r="D11" s="1">
        <f>(D9+D10)/2</f>
        <v>126.6</v>
      </c>
      <c r="E11" s="1"/>
      <c r="F11" s="2" t="s">
        <v>26</v>
      </c>
      <c r="G11">
        <v>54</v>
      </c>
      <c r="I11" t="s">
        <v>27</v>
      </c>
      <c r="J11" s="5">
        <f>(J10/2)*(J9-1000)*D16/(1+12.7*SQRT(J10/2)*(D16^(2/3)-1))</f>
        <v>327.0806518005472</v>
      </c>
      <c r="K11" t="s">
        <v>28</v>
      </c>
      <c r="L11" t="s">
        <v>29</v>
      </c>
      <c r="M11" s="8">
        <f>(-(3.47-3.72)/(87.78-82.22)*(87.787-85)+3.27)/10000</f>
        <v>0.0003395314748201439</v>
      </c>
    </row>
    <row r="12" spans="1:13" ht="12">
      <c r="A12" s="9" t="s">
        <v>30</v>
      </c>
      <c r="B12" s="13">
        <f>985.7+(985.7-988.8)/(54.44-48.89)*(54.44-53.45)</f>
        <v>985.1470270270271</v>
      </c>
      <c r="C12" s="1"/>
      <c r="D12" s="1">
        <v>1044</v>
      </c>
      <c r="E12" s="1"/>
      <c r="F12" s="2" t="s">
        <v>31</v>
      </c>
      <c r="G12" s="10">
        <f>3/4*0.0254</f>
        <v>0.019049999999999997</v>
      </c>
      <c r="I12" t="s">
        <v>32</v>
      </c>
      <c r="J12" s="6">
        <f>J11*D15/G13</f>
        <v>5472.80618170207</v>
      </c>
      <c r="L12" t="s">
        <v>33</v>
      </c>
      <c r="M12" s="4">
        <f>(B14/M11)^0.14</f>
        <v>1.0707469183310918</v>
      </c>
    </row>
    <row r="13" spans="1:14" ht="12">
      <c r="A13" t="s">
        <v>34</v>
      </c>
      <c r="B13" s="1">
        <v>4178</v>
      </c>
      <c r="C13" s="1"/>
      <c r="D13" s="1">
        <v>2848</v>
      </c>
      <c r="E13" s="1"/>
      <c r="F13" s="2" t="s">
        <v>35</v>
      </c>
      <c r="G13" s="10">
        <f>0.62*0.0254</f>
        <v>0.015747999999999998</v>
      </c>
      <c r="L13" t="s">
        <v>27</v>
      </c>
      <c r="M13" s="5">
        <f>0.36*M9^0.55*B16^(1/3)*M12</f>
        <v>234.5068541862443</v>
      </c>
      <c r="N13" t="s">
        <v>36</v>
      </c>
    </row>
    <row r="14" spans="1:13" ht="12">
      <c r="A14" t="s">
        <v>37</v>
      </c>
      <c r="B14" s="23">
        <f>(5.62+(5.13-5.62)/(54.44-48.89)*(54.44-53.45))/10000</f>
        <v>0.0005532594594594596</v>
      </c>
      <c r="C14" s="1"/>
      <c r="D14" s="11">
        <f>0.00000118*D12</f>
        <v>0.0012319199999999998</v>
      </c>
      <c r="E14" s="1"/>
      <c r="F14" s="2" t="s">
        <v>38</v>
      </c>
      <c r="G14" s="12">
        <v>1.21</v>
      </c>
      <c r="L14" t="s">
        <v>39</v>
      </c>
      <c r="M14" s="6">
        <f>M13*B15/G28</f>
        <v>8308.29619626701</v>
      </c>
    </row>
    <row r="15" spans="1:12" ht="12">
      <c r="A15" t="s">
        <v>40</v>
      </c>
      <c r="B15" s="24">
        <f>(0.649-(0.649-0.644)/(54.44-48.89)*(54.44-53.45))</f>
        <v>0.6481081081081081</v>
      </c>
      <c r="C15" s="1"/>
      <c r="D15" s="1">
        <v>0.2635</v>
      </c>
      <c r="E15" s="1"/>
      <c r="F15" s="2" t="s">
        <v>41</v>
      </c>
      <c r="G15" s="12">
        <f>0.0254*1</f>
        <v>0.0254</v>
      </c>
      <c r="L15" s="14"/>
    </row>
    <row r="16" spans="1:13" ht="12">
      <c r="A16" t="s">
        <v>42</v>
      </c>
      <c r="B16" s="3">
        <f>B14*B13/B15</f>
        <v>3.566562418682236</v>
      </c>
      <c r="C16" s="1"/>
      <c r="D16" s="13">
        <f>D14*D13/D15</f>
        <v>13.315021480075899</v>
      </c>
      <c r="E16" s="1"/>
      <c r="F16" s="2" t="s">
        <v>43</v>
      </c>
      <c r="G16" s="12">
        <v>0.4</v>
      </c>
      <c r="I16" t="s">
        <v>48</v>
      </c>
      <c r="J16" s="6">
        <f>1/(1/M14+G14/J12+G12*LN(G14)/(2*G11))</f>
        <v>2666.1114589455938</v>
      </c>
      <c r="L16" s="25" t="s">
        <v>99</v>
      </c>
      <c r="M16" s="25">
        <f>J21/J16</f>
        <v>0.5560218035062043</v>
      </c>
    </row>
    <row r="17" spans="1:10" ht="12">
      <c r="A17" t="s">
        <v>45</v>
      </c>
      <c r="B17" s="1">
        <v>8.8E-05</v>
      </c>
      <c r="C17" s="1"/>
      <c r="D17" s="1">
        <v>0.000352</v>
      </c>
      <c r="E17" s="1"/>
      <c r="F17" s="2" t="s">
        <v>46</v>
      </c>
      <c r="G17" s="12" t="s">
        <v>47</v>
      </c>
      <c r="I17" t="s">
        <v>93</v>
      </c>
      <c r="J17" s="14">
        <f>((D9-B10)-(D10-B9))/LN((D9-B10)/(D10-B9))</f>
        <v>72.98124100637105</v>
      </c>
    </row>
    <row r="18" spans="1:12" ht="12">
      <c r="A18" t="s">
        <v>50</v>
      </c>
      <c r="B18" s="1">
        <f>B8*B13</f>
        <v>62670</v>
      </c>
      <c r="C18" s="1"/>
      <c r="D18" s="15">
        <f>D8*D13</f>
        <v>65662.22222222223</v>
      </c>
      <c r="E18" s="1"/>
      <c r="F18" s="16" t="s">
        <v>51</v>
      </c>
      <c r="G18" s="12">
        <v>0.045</v>
      </c>
      <c r="I18" t="s">
        <v>95</v>
      </c>
      <c r="J18" s="14">
        <f>(B9-B10)/(D10-D9)</f>
        <v>1.3805970149253732</v>
      </c>
      <c r="L18" s="6"/>
    </row>
    <row r="19" spans="2:12" ht="12">
      <c r="B19" s="1"/>
      <c r="C19" s="1"/>
      <c r="D19" s="1"/>
      <c r="E19" s="1"/>
      <c r="F19" s="16" t="s">
        <v>53</v>
      </c>
      <c r="G19" s="10">
        <f>G18/(G13*1000)</f>
        <v>0.0028575057150114305</v>
      </c>
      <c r="I19" t="s">
        <v>96</v>
      </c>
      <c r="J19" s="14">
        <f>(D10-D9)/(B9-D9)</f>
        <v>0.2552380952380952</v>
      </c>
      <c r="L19" s="5"/>
    </row>
    <row r="20" spans="2:12" ht="12">
      <c r="B20" s="1"/>
      <c r="C20" s="1"/>
      <c r="D20" s="1"/>
      <c r="E20" s="1"/>
      <c r="F20" s="2" t="s">
        <v>23</v>
      </c>
      <c r="G20" s="10">
        <v>0.0065</v>
      </c>
      <c r="I20" t="s">
        <v>94</v>
      </c>
      <c r="J20" s="4">
        <v>0.99</v>
      </c>
      <c r="L20" s="14"/>
    </row>
    <row r="21" spans="2:12" ht="12">
      <c r="B21" s="1"/>
      <c r="C21" s="1"/>
      <c r="D21" s="1"/>
      <c r="E21" s="1"/>
      <c r="F21" s="2" t="s">
        <v>16</v>
      </c>
      <c r="G21" s="17">
        <f>SQRT(1000/(2*G20*D12/G13))</f>
        <v>1.0771861915957586</v>
      </c>
      <c r="I21" t="s">
        <v>52</v>
      </c>
      <c r="J21" s="6">
        <f>G5/(G30*J17*J20)</f>
        <v>1482.4161017514868</v>
      </c>
      <c r="L21" s="6"/>
    </row>
    <row r="22" spans="2:10" ht="12">
      <c r="B22" s="1"/>
      <c r="C22" s="1"/>
      <c r="D22" s="1"/>
      <c r="E22" s="1"/>
      <c r="F22" s="2" t="s">
        <v>59</v>
      </c>
      <c r="G22" s="17">
        <f>D12*G21*3.1416/4*G13^2</f>
        <v>0.21904481900415737</v>
      </c>
      <c r="I22" s="19" t="s">
        <v>97</v>
      </c>
      <c r="J22" s="20">
        <f>1/J21-1/J16</f>
        <v>0.0002994963397721003</v>
      </c>
    </row>
    <row r="23" spans="2:7" ht="12">
      <c r="B23" s="1"/>
      <c r="C23" s="1"/>
      <c r="D23" s="1"/>
      <c r="E23" s="1"/>
      <c r="F23" s="2" t="s">
        <v>60</v>
      </c>
      <c r="G23" s="18">
        <f>D8/G22*G9</f>
        <v>210.50993728473418</v>
      </c>
    </row>
    <row r="24" spans="2:9" ht="12">
      <c r="B24" s="1"/>
      <c r="C24" s="1"/>
      <c r="D24" s="1"/>
      <c r="E24" s="1"/>
      <c r="F24" s="2" t="s">
        <v>62</v>
      </c>
      <c r="G24" s="12"/>
      <c r="I24" t="s">
        <v>61</v>
      </c>
    </row>
    <row r="25" spans="2:12" ht="12">
      <c r="B25" s="1"/>
      <c r="C25" s="1"/>
      <c r="D25" s="1"/>
      <c r="E25" s="1"/>
      <c r="F25" s="2" t="s">
        <v>63</v>
      </c>
      <c r="G25" s="12">
        <f>H25*0.0254</f>
        <v>0.30479999999999996</v>
      </c>
      <c r="H25">
        <v>12</v>
      </c>
      <c r="I25" t="s">
        <v>13</v>
      </c>
      <c r="L25" t="s">
        <v>14</v>
      </c>
    </row>
    <row r="26" spans="2:13" ht="12">
      <c r="B26" s="1"/>
      <c r="C26" s="1"/>
      <c r="D26" s="1"/>
      <c r="E26" s="1"/>
      <c r="F26" s="2" t="s">
        <v>60</v>
      </c>
      <c r="G26">
        <v>82</v>
      </c>
      <c r="I26" s="16" t="s">
        <v>64</v>
      </c>
      <c r="J26" s="10">
        <v>0.0028575057150114305</v>
      </c>
      <c r="L26" s="16" t="s">
        <v>98</v>
      </c>
      <c r="M26" s="8">
        <f>G18/(1000*G28)</f>
        <v>0.0024599228649199232</v>
      </c>
    </row>
    <row r="27" spans="2:13" ht="12">
      <c r="B27" s="1"/>
      <c r="C27" s="1"/>
      <c r="D27" s="1"/>
      <c r="E27" s="1"/>
      <c r="F27" s="2" t="s">
        <v>65</v>
      </c>
      <c r="G27">
        <f>G16*G25</f>
        <v>0.12191999999999999</v>
      </c>
      <c r="I27" t="s">
        <v>20</v>
      </c>
      <c r="J27" s="6">
        <f>J9</f>
        <v>36905.655704675504</v>
      </c>
      <c r="L27" t="s">
        <v>20</v>
      </c>
      <c r="M27" s="6">
        <f>M9</f>
        <v>53385.52403389013</v>
      </c>
    </row>
    <row r="28" spans="2:13" ht="12">
      <c r="B28" s="1"/>
      <c r="C28" s="1"/>
      <c r="D28" s="1"/>
      <c r="E28" s="1"/>
      <c r="F28" s="2" t="s">
        <v>67</v>
      </c>
      <c r="G28" s="4">
        <f>4/(3.1416*G12)*(SQRT(3)/2*G15^2-3.1416*G12^2/4)</f>
        <v>0.018293256525124767</v>
      </c>
      <c r="I28" t="s">
        <v>66</v>
      </c>
      <c r="J28">
        <f>(2.457*LN(1/((7/J27)^0.9+0.27*J26)))^16</f>
        <v>2.9802298586940256E+19</v>
      </c>
      <c r="L28" t="s">
        <v>66</v>
      </c>
      <c r="M28">
        <f>(2.457*LN(1/((7/M27)^0.9+0.27*M26)))^16</f>
        <v>4.9127849036393144E+19</v>
      </c>
    </row>
    <row r="29" spans="2:13" ht="12">
      <c r="B29" s="1"/>
      <c r="C29" s="1"/>
      <c r="D29" s="1"/>
      <c r="E29" s="1"/>
      <c r="F29" s="2" t="s">
        <v>69</v>
      </c>
      <c r="G29" s="7">
        <f>(G15-G12)/G15*G25*G27</f>
        <v>0.009290304</v>
      </c>
      <c r="I29" t="s">
        <v>68</v>
      </c>
      <c r="J29">
        <f>(37530/J27)^16</f>
        <v>1.307886981150547</v>
      </c>
      <c r="K29" s="14"/>
      <c r="L29" t="s">
        <v>68</v>
      </c>
      <c r="M29">
        <f>(37530/M27)^16</f>
        <v>0.0035586138818122334</v>
      </c>
    </row>
    <row r="30" spans="2:13" ht="12">
      <c r="B30" s="1"/>
      <c r="C30" s="1"/>
      <c r="D30" s="1"/>
      <c r="E30" s="1"/>
      <c r="F30" s="2" t="s">
        <v>49</v>
      </c>
      <c r="G30" s="21">
        <v>16.429857942195927</v>
      </c>
      <c r="I30" t="s">
        <v>23</v>
      </c>
      <c r="J30" s="8">
        <f>2*((8/J27)^12+1/(J28+J29)^(3/2))^(1/12)</f>
        <v>0.0073578134997414665</v>
      </c>
      <c r="L30" t="s">
        <v>23</v>
      </c>
      <c r="M30" s="8">
        <f>2*((8/M27)^12+1/(M28+M29)^(3/2))^(1/12)</f>
        <v>0.006912163890880521</v>
      </c>
    </row>
    <row r="31" spans="2:13" ht="12">
      <c r="B31" s="1"/>
      <c r="C31" s="1"/>
      <c r="D31" s="1"/>
      <c r="E31" s="1"/>
      <c r="F31" s="2" t="s">
        <v>56</v>
      </c>
      <c r="G31">
        <v>3.35</v>
      </c>
      <c r="I31" t="s">
        <v>70</v>
      </c>
      <c r="J31" s="6">
        <f>G9*2*J30*L19/G13*D12*J8^2+(G9-1)*D12*J8^2*2</f>
        <v>15967.228797846215</v>
      </c>
      <c r="L31" t="s">
        <v>70</v>
      </c>
      <c r="M31" s="5">
        <f>M30*M8^2*(L20+1)*G25/(B12*G28)</f>
        <v>304.76113440739834</v>
      </c>
    </row>
    <row r="32" spans="6:13" ht="12">
      <c r="F32" s="2" t="s">
        <v>58</v>
      </c>
      <c r="G32">
        <v>26</v>
      </c>
      <c r="I32" t="s">
        <v>71</v>
      </c>
      <c r="J32" s="6">
        <f>J31/G31</f>
        <v>4766.33695458096</v>
      </c>
      <c r="L32" t="s">
        <v>71</v>
      </c>
      <c r="M32" s="6">
        <f>M31/G31</f>
        <v>90.97347295743234</v>
      </c>
    </row>
  </sheetData>
  <printOptions/>
  <pageMargins left="0.75" right="0.75" top="1" bottom="1" header="0" footer="0"/>
  <pageSetup horizontalDpi="360" verticalDpi="3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RIVAS</dc:creator>
  <cp:keywords/>
  <dc:description/>
  <cp:lastModifiedBy>Mabel Briceño</cp:lastModifiedBy>
  <cp:lastPrinted>2004-11-25T13:10:16Z</cp:lastPrinted>
  <dcterms:created xsi:type="dcterms:W3CDTF">2004-11-25T10:11:22Z</dcterms:created>
  <dcterms:modified xsi:type="dcterms:W3CDTF">2004-11-28T16:10:04Z</dcterms:modified>
  <cp:category/>
  <cp:version/>
  <cp:contentType/>
  <cp:contentStatus/>
</cp:coreProperties>
</file>