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540" windowHeight="9840" tabRatio="738" activeTab="8"/>
  </bookViews>
  <sheets>
    <sheet name="1-1 8&quot;" sheetId="1" r:id="rId1"/>
    <sheet name="1-2 8&quot;" sheetId="2" r:id="rId2"/>
    <sheet name="1-4 8&quot;" sheetId="3" r:id="rId3"/>
    <sheet name="1-1 10&quot;" sheetId="4" r:id="rId4"/>
    <sheet name="1-2 10&quot;" sheetId="5" r:id="rId5"/>
    <sheet name="1-4 10&quot;" sheetId="6" r:id="rId6"/>
    <sheet name="1-1 12&quot;" sheetId="7" r:id="rId7"/>
    <sheet name="1-2 12&quot;" sheetId="8" r:id="rId8"/>
    <sheet name="1-4 12&quot;" sheetId="9" r:id="rId9"/>
    <sheet name="Resumen" sheetId="10" r:id="rId10"/>
    <sheet name="Prop. etil" sheetId="11" r:id="rId11"/>
  </sheets>
  <definedNames>
    <definedName name="_xlnm.Print_Area" localSheetId="3">'1-1 10"'!$A$1:$N$31</definedName>
    <definedName name="_xlnm.Print_Area" localSheetId="6">'1-1 12"'!$A$5:$N$33</definedName>
    <definedName name="_xlnm.Print_Area" localSheetId="0">'1-1 8"'!$A$4:$M$36</definedName>
    <definedName name="_xlnm.Print_Area" localSheetId="7">'1-2 12"'!$A$5:$N$31</definedName>
    <definedName name="_xlnm.Print_Area" localSheetId="9">'Resumen'!$A$3:$J$20</definedName>
  </definedNames>
  <calcPr fullCalcOnLoad="1"/>
</workbook>
</file>

<file path=xl/sharedStrings.xml><?xml version="1.0" encoding="utf-8"?>
<sst xmlns="http://schemas.openxmlformats.org/spreadsheetml/2006/main" count="867" uniqueCount="115">
  <si>
    <r>
      <t>Se conocen flujo y temperaturas de fluido caliente y temperaturas fluido frío. Se sugiere un Rst de 9E10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0"/>
      </rPr>
      <t>. Máximo disponible fluido de servicio es 15 kg/s.</t>
    </r>
  </si>
  <si>
    <t>k</t>
  </si>
  <si>
    <t>Evaluación del efecto del número de pases por carcaza y del diámetro de carcaza.</t>
  </si>
  <si>
    <t>Se requiere dimensionar un intercambiador de calor para enfriar etilén glicol con agua.</t>
  </si>
  <si>
    <t>Aquí se evalúa un intercambiador tipo 1-1</t>
  </si>
  <si>
    <t>con una carcaza de 8".</t>
  </si>
  <si>
    <t>Aquí se evalúa un intercambiador tipo 1-2</t>
  </si>
  <si>
    <t>Aquí se evalúa un intercambiador tipo 1-4</t>
  </si>
  <si>
    <t>con una carcaza de 10".</t>
  </si>
  <si>
    <t>con una carcaza de 12".</t>
  </si>
  <si>
    <t>Fluido frío</t>
  </si>
  <si>
    <t>Agua</t>
  </si>
  <si>
    <t>Asignación</t>
  </si>
  <si>
    <t>Tm, ºC:</t>
  </si>
  <si>
    <t>Cp, J/kg K:</t>
  </si>
  <si>
    <t>µ, Pa.s:</t>
  </si>
  <si>
    <t>k, W/m k:</t>
  </si>
  <si>
    <t>Pr:</t>
  </si>
  <si>
    <r>
      <t>r</t>
    </r>
    <r>
      <rPr>
        <sz val="10"/>
        <rFont val="Arial"/>
        <family val="0"/>
      </rPr>
      <t>,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: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</si>
  <si>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ºC: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</si>
  <si>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ºC:</t>
    </r>
  </si>
  <si>
    <r>
      <t>Rs,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K/W:</t>
    </r>
  </si>
  <si>
    <t>Fluido caliente</t>
  </si>
  <si>
    <t>Etilén glicol</t>
  </si>
  <si>
    <t>m, kg/s:</t>
  </si>
  <si>
    <t>Temp</t>
  </si>
  <si>
    <t>Densidad</t>
  </si>
  <si>
    <t>Cp</t>
  </si>
  <si>
    <t>n</t>
  </si>
  <si>
    <t>Tubos</t>
  </si>
  <si>
    <t>Carcaza</t>
  </si>
  <si>
    <t>Carga térmica, W:</t>
  </si>
  <si>
    <t>Configuración preliminar:</t>
  </si>
  <si>
    <t>Tubos 3/4 OD, BWG 16</t>
  </si>
  <si>
    <t>do, m:</t>
  </si>
  <si>
    <t>di, m:</t>
  </si>
  <si>
    <t>do/di:</t>
  </si>
  <si>
    <t>Pt, m:</t>
  </si>
  <si>
    <t>Carcaza-tubo 1-1, arreglo triangular</t>
  </si>
  <si>
    <t>Deflectores:</t>
  </si>
  <si>
    <t>Corte 25 %</t>
  </si>
  <si>
    <t>v, m/s:</t>
  </si>
  <si>
    <t>f:</t>
  </si>
  <si>
    <t>mt, kg/s:</t>
  </si>
  <si>
    <t>Nt:</t>
  </si>
  <si>
    <r>
      <t>e</t>
    </r>
    <r>
      <rPr>
        <sz val="10"/>
        <rFont val="Arial"/>
        <family val="0"/>
      </rPr>
      <t>, mm:</t>
    </r>
  </si>
  <si>
    <r>
      <t>e</t>
    </r>
    <r>
      <rPr>
        <sz val="10"/>
        <rFont val="Arial"/>
        <family val="0"/>
      </rPr>
      <t>/di:</t>
    </r>
  </si>
  <si>
    <t>Configuración comercial:</t>
  </si>
  <si>
    <t>Dc, m,</t>
  </si>
  <si>
    <t>B, m:</t>
  </si>
  <si>
    <t>B, fracción de Dc:</t>
  </si>
  <si>
    <t>Deq, m:_</t>
  </si>
  <si>
    <r>
      <t>Ac,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</si>
  <si>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Evaluación térmica:</t>
  </si>
  <si>
    <t>Lado tubos:</t>
  </si>
  <si>
    <t>Np:</t>
  </si>
  <si>
    <t>Re:</t>
  </si>
  <si>
    <t>Nu:</t>
  </si>
  <si>
    <t>Gnielinski</t>
  </si>
  <si>
    <t>hi, W/m2 K:</t>
  </si>
  <si>
    <t>Lado carcaza:</t>
  </si>
  <si>
    <t>Tp, ºC:</t>
  </si>
  <si>
    <r>
      <t>G,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s:</t>
    </r>
  </si>
  <si>
    <r>
      <t>ho,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</si>
  <si>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r>
      <t>µ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, Pa.s:</t>
    </r>
  </si>
  <si>
    <r>
      <t>(µ/µ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)^0.14:</t>
    </r>
  </si>
  <si>
    <t>Kern</t>
  </si>
  <si>
    <r>
      <t>Rst,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K/W:</t>
    </r>
  </si>
  <si>
    <r>
      <t>Uol,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</si>
  <si>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r>
      <t>Uos,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</si>
  <si>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t>C, J/s K:</t>
  </si>
  <si>
    <t>C*:</t>
  </si>
  <si>
    <r>
      <t>e</t>
    </r>
    <r>
      <rPr>
        <sz val="10"/>
        <rFont val="Arial"/>
        <family val="0"/>
      </rPr>
      <t>:</t>
    </r>
  </si>
  <si>
    <t>NTU:</t>
  </si>
  <si>
    <r>
      <t>Aol,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</si>
  <si>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Aos,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</si>
  <si>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CF:</t>
  </si>
  <si>
    <t>SDA:</t>
  </si>
  <si>
    <t>L, m:</t>
  </si>
  <si>
    <t>k, W/m K:</t>
  </si>
  <si>
    <t>Evaluación hidrodinámica:</t>
  </si>
  <si>
    <r>
      <t>e/</t>
    </r>
    <r>
      <rPr>
        <sz val="10"/>
        <rFont val="Arial"/>
        <family val="2"/>
      </rPr>
      <t>di</t>
    </r>
    <r>
      <rPr>
        <sz val="10"/>
        <rFont val="Symbol"/>
        <family val="1"/>
      </rPr>
      <t>:</t>
    </r>
  </si>
  <si>
    <t>A:</t>
  </si>
  <si>
    <t>B:</t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</si>
  <si>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P), Pa: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</si>
  <si>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P/L), Pa/m:</t>
    </r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</si>
  <si>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:</t>
    </r>
  </si>
  <si>
    <t>Carcaza-tubo 1-2, arreglo triangular</t>
  </si>
  <si>
    <t>E:</t>
  </si>
  <si>
    <t>Deq, m:</t>
  </si>
  <si>
    <t>Se prefiere etilén por los tubos porque la presión es elevada. Para la velocidad por los tubos se sugiere</t>
  </si>
  <si>
    <t>alternativas y escoger la que de el menor tamaño de intercambiador y cumpla con los requisitos.</t>
  </si>
  <si>
    <t>Tabla resumen</t>
  </si>
  <si>
    <t>1-1</t>
  </si>
  <si>
    <t>1-2</t>
  </si>
  <si>
    <t>1-4</t>
  </si>
  <si>
    <t>Dc, pulg</t>
  </si>
  <si>
    <t>CF</t>
  </si>
  <si>
    <t>SDA</t>
  </si>
  <si>
    <t>una caída de presión no inferior a 1 kPa/m pero no superior a 10 kPa/m. Por la carcaza no más de 1 bar. Evaluar varias</t>
  </si>
  <si>
    <r>
      <t>hi,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</si>
  <si>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t>G, kg/s</t>
  </si>
  <si>
    <r>
      <t>e/</t>
    </r>
    <r>
      <rPr>
        <sz val="10"/>
        <rFont val="Arial"/>
        <family val="2"/>
      </rPr>
      <t>Deq</t>
    </r>
    <r>
      <rPr>
        <sz val="10"/>
        <rFont val="Symbol"/>
        <family val="1"/>
      </rPr>
      <t>: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</si>
  <si>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P/L)t, Pa/m</t>
    </r>
  </si>
  <si>
    <r>
      <t>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</si>
  <si>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</si>
  <si>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t>vt, m/s</t>
  </si>
  <si>
    <r>
      <t>U</t>
    </r>
    <r>
      <rPr>
        <vertAlign val="subscript"/>
        <sz val="10"/>
        <rFont val="Arial"/>
        <family val="2"/>
      </rPr>
      <t>ol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</si>
  <si>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U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</si>
  <si>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A</t>
    </r>
    <r>
      <rPr>
        <vertAlign val="subscript"/>
        <sz val="10"/>
        <rFont val="Arial"/>
        <family val="2"/>
      </rPr>
      <t>ol</t>
    </r>
    <r>
      <rPr>
        <sz val="10"/>
        <rFont val="Arial"/>
        <family val="0"/>
      </rPr>
      <t>, 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</si>
  <si>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, m</t>
    </r>
    <r>
      <rPr>
        <vertAlign val="superscript"/>
        <sz val="10"/>
        <rFont val="Arial"/>
        <family val="2"/>
      </rPr>
      <t>2</t>
    </r>
  </si>
  <si>
    <t>L, m</t>
  </si>
  <si>
    <t>NB</t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</si>
  <si>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P)t, Pa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</si>
  <si>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P)c, Pa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</si>
</sst>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11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8.75"/>
      <name val="Arial"/>
      <family val="2"/>
    </font>
    <font>
      <sz val="10.7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" fontId="0" fillId="0" borderId="6" xfId="0" applyNumberFormat="1" applyBorder="1" applyAlignment="1" quotePrefix="1">
      <alignment horizontal="center"/>
    </xf>
    <xf numFmtId="16" fontId="0" fillId="0" borderId="7" xfId="0" applyNumberFormat="1" applyBorder="1" applyAlignment="1" quotePrefix="1">
      <alignment horizontal="center"/>
    </xf>
    <xf numFmtId="16" fontId="0" fillId="0" borderId="8" xfId="0" applyNumberForma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16" fontId="0" fillId="2" borderId="8" xfId="0" applyNumberFormat="1" applyFill="1" applyBorder="1" applyAlignment="1" quotePrefix="1">
      <alignment horizontal="center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'Prop. etil'!$A$6:$A$11</c:f>
              <c:numCache/>
            </c:numRef>
          </c:xVal>
          <c:yVal>
            <c:numRef>
              <c:f>'Prop. etil'!$B$6:$B$11</c:f>
              <c:numCache/>
            </c:numRef>
          </c:yVal>
          <c:smooth val="0"/>
        </c:ser>
        <c:axId val="64127230"/>
        <c:axId val="40274159"/>
      </c:scatterChart>
      <c:valAx>
        <c:axId val="64127230"/>
        <c:scaling>
          <c:orientation val="minMax"/>
          <c:max val="13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crossBetween val="midCat"/>
        <c:dispUnits/>
        <c:majorUnit val="10"/>
      </c:valAx>
      <c:valAx>
        <c:axId val="40274159"/>
        <c:scaling>
          <c:orientation val="minMax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'Prop. etil'!$A$6:$A$11</c:f>
              <c:numCache/>
            </c:numRef>
          </c:xVal>
          <c:yVal>
            <c:numRef>
              <c:f>'Prop. etil'!$C$6:$C$11</c:f>
              <c:numCache/>
            </c:numRef>
          </c:yVal>
          <c:smooth val="0"/>
        </c:ser>
        <c:axId val="26923112"/>
        <c:axId val="40981417"/>
      </c:scatterChart>
      <c:valAx>
        <c:axId val="26923112"/>
        <c:scaling>
          <c:orientation val="minMax"/>
          <c:max val="13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crossBetween val="midCat"/>
        <c:dispUnits/>
        <c:majorUnit val="10"/>
      </c:valAx>
      <c:valAx>
        <c:axId val="40981417"/>
        <c:scaling>
          <c:orientation val="minMax"/>
          <c:max val="2900"/>
          <c:min val="2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'Prop. etil'!$A$6:$A$11</c:f>
              <c:numCache/>
            </c:numRef>
          </c:xVal>
          <c:yVal>
            <c:numRef>
              <c:f>'Prop. etil'!$D$6:$D$11</c:f>
              <c:numCache/>
            </c:numRef>
          </c:yVal>
          <c:smooth val="0"/>
        </c:ser>
        <c:axId val="33288434"/>
        <c:axId val="31160451"/>
      </c:scatterChart>
      <c:valAx>
        <c:axId val="33288434"/>
        <c:scaling>
          <c:logBase val="10"/>
          <c:orientation val="minMax"/>
          <c:max val="1000"/>
          <c:min val="1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At val="0.1"/>
        <c:crossBetween val="midCat"/>
        <c:dispUnits/>
        <c:majorUnit val="10"/>
        <c:minorUnit val="10"/>
      </c:valAx>
      <c:valAx>
        <c:axId val="31160451"/>
        <c:scaling>
          <c:logBase val="10"/>
          <c:orientation val="minMax"/>
          <c:min val="0.1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3328843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'Prop. etil'!$A$6:$A$11</c:f>
              <c:numCache/>
            </c:numRef>
          </c:xVal>
          <c:yVal>
            <c:numRef>
              <c:f>'Prop. etil'!$E$6:$E$11</c:f>
              <c:numCache/>
            </c:numRef>
          </c:yVal>
          <c:smooth val="0"/>
        </c:ser>
        <c:axId val="12008604"/>
        <c:axId val="40968573"/>
      </c:scatterChart>
      <c:valAx>
        <c:axId val="12008604"/>
        <c:scaling>
          <c:orientation val="minMax"/>
          <c:max val="140"/>
        </c:scaling>
        <c:axPos val="b"/>
        <c:delete val="0"/>
        <c:numFmt formatCode="General" sourceLinked="1"/>
        <c:majorTickMark val="out"/>
        <c:minorTickMark val="in"/>
        <c:tickLblPos val="nextTo"/>
        <c:crossAx val="40968573"/>
        <c:crossesAt val="0.1"/>
        <c:crossBetween val="midCat"/>
        <c:dispUnits/>
        <c:majorUnit val="20"/>
        <c:minorUnit val="5"/>
      </c:valAx>
      <c:valAx>
        <c:axId val="4096857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1200860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0.1055</cdr:y>
    </cdr:from>
    <cdr:to>
      <cdr:x>0.95775</cdr:x>
      <cdr:y>0.6315</cdr:y>
    </cdr:to>
    <cdr:sp>
      <cdr:nvSpPr>
        <cdr:cNvPr id="1" name="Line 1"/>
        <cdr:cNvSpPr>
          <a:spLocks/>
        </cdr:cNvSpPr>
      </cdr:nvSpPr>
      <cdr:spPr>
        <a:xfrm>
          <a:off x="504825" y="352425"/>
          <a:ext cx="2952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0.376</cdr:y>
    </cdr:from>
    <cdr:to>
      <cdr:x>0.9065</cdr:x>
      <cdr:y>0.844</cdr:y>
    </cdr:to>
    <cdr:sp>
      <cdr:nvSpPr>
        <cdr:cNvPr id="2" name="Line 2"/>
        <cdr:cNvSpPr>
          <a:spLocks/>
        </cdr:cNvSpPr>
      </cdr:nvSpPr>
      <cdr:spPr>
        <a:xfrm flipH="1" flipV="1">
          <a:off x="3257550" y="127635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0.102</cdr:y>
    </cdr:from>
    <cdr:to>
      <cdr:x>0.9545</cdr:x>
      <cdr:y>0.83525</cdr:y>
    </cdr:to>
    <cdr:sp>
      <cdr:nvSpPr>
        <cdr:cNvPr id="1" name="Line 1"/>
        <cdr:cNvSpPr>
          <a:spLocks/>
        </cdr:cNvSpPr>
      </cdr:nvSpPr>
      <cdr:spPr>
        <a:xfrm flipV="1">
          <a:off x="609600" y="295275"/>
          <a:ext cx="30670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0.913</cdr:x>
      <cdr:y>0.0695</cdr:y>
    </cdr:from>
    <cdr:to>
      <cdr:x>0.913</cdr:x>
      <cdr:y>0.8805</cdr:y>
    </cdr:to>
    <cdr:sp>
      <cdr:nvSpPr>
        <cdr:cNvPr id="2" name="Line 2"/>
        <cdr:cNvSpPr>
          <a:spLocks/>
        </cdr:cNvSpPr>
      </cdr:nvSpPr>
      <cdr:spPr>
        <a:xfrm flipV="1">
          <a:off x="3514725" y="20002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0.27325</cdr:y>
    </cdr:from>
    <cdr:to>
      <cdr:x>0.62275</cdr:x>
      <cdr:y>0.66025</cdr:y>
    </cdr:to>
    <cdr:sp>
      <cdr:nvSpPr>
        <cdr:cNvPr id="1" name="Line 1"/>
        <cdr:cNvSpPr>
          <a:spLocks/>
        </cdr:cNvSpPr>
      </cdr:nvSpPr>
      <cdr:spPr>
        <a:xfrm>
          <a:off x="895350" y="542925"/>
          <a:ext cx="1809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0.49925</cdr:x>
      <cdr:y>0.45025</cdr:y>
    </cdr:from>
    <cdr:to>
      <cdr:x>0.49925</cdr:x>
      <cdr:y>0.817</cdr:y>
    </cdr:to>
    <cdr:sp>
      <cdr:nvSpPr>
        <cdr:cNvPr id="2" name="Line 2"/>
        <cdr:cNvSpPr>
          <a:spLocks/>
        </cdr:cNvSpPr>
      </cdr:nvSpPr>
      <cdr:spPr>
        <a:xfrm flipV="1">
          <a:off x="2162175" y="8953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0.11375</cdr:y>
    </cdr:from>
    <cdr:to>
      <cdr:x>0.93875</cdr:x>
      <cdr:y>0.76875</cdr:y>
    </cdr:to>
    <cdr:sp>
      <cdr:nvSpPr>
        <cdr:cNvPr id="1" name="AutoShape 2"/>
        <cdr:cNvSpPr>
          <a:spLocks/>
        </cdr:cNvSpPr>
      </cdr:nvSpPr>
      <cdr:spPr>
        <a:xfrm>
          <a:off x="581025" y="285750"/>
          <a:ext cx="2809875" cy="1657350"/>
        </a:xfrm>
        <a:custGeom>
          <a:pathLst>
            <a:path h="1647825" w="2762250">
              <a:moveTo>
                <a:pt x="0" y="1647825"/>
              </a:moveTo>
              <a:cubicBezTo>
                <a:pt x="107950" y="1486693"/>
                <a:pt x="215900" y="1325562"/>
                <a:pt x="361950" y="1152525"/>
              </a:cubicBezTo>
              <a:cubicBezTo>
                <a:pt x="508000" y="979488"/>
                <a:pt x="673100" y="763587"/>
                <a:pt x="876300" y="609600"/>
              </a:cubicBezTo>
              <a:cubicBezTo>
                <a:pt x="1079500" y="455613"/>
                <a:pt x="1266825" y="330200"/>
                <a:pt x="1581150" y="228600"/>
              </a:cubicBezTo>
              <a:cubicBezTo>
                <a:pt x="1895475" y="127000"/>
                <a:pt x="2565400" y="38100"/>
                <a:pt x="276225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0.83925</cdr:x>
      <cdr:y>0.05375</cdr:y>
    </cdr:from>
    <cdr:to>
      <cdr:x>0.83925</cdr:x>
      <cdr:y>0.822</cdr:y>
    </cdr:to>
    <cdr:sp>
      <cdr:nvSpPr>
        <cdr:cNvPr id="2" name="Line 3"/>
        <cdr:cNvSpPr>
          <a:spLocks/>
        </cdr:cNvSpPr>
      </cdr:nvSpPr>
      <cdr:spPr>
        <a:xfrm flipV="1">
          <a:off x="3028950" y="1333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</xdr:row>
      <xdr:rowOff>123825</xdr:rowOff>
    </xdr:from>
    <xdr:to>
      <xdr:col>11</xdr:col>
      <xdr:colOff>657225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429250" y="609600"/>
        <a:ext cx="3609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2</xdr:row>
      <xdr:rowOff>104775</xdr:rowOff>
    </xdr:from>
    <xdr:to>
      <xdr:col>11</xdr:col>
      <xdr:colOff>28575</xdr:colOff>
      <xdr:row>21</xdr:row>
      <xdr:rowOff>28575</xdr:rowOff>
    </xdr:to>
    <xdr:graphicFrame>
      <xdr:nvGraphicFramePr>
        <xdr:cNvPr id="2" name="Chart 3"/>
        <xdr:cNvGraphicFramePr/>
      </xdr:nvGraphicFramePr>
      <xdr:xfrm>
        <a:off x="4552950" y="428625"/>
        <a:ext cx="38576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12</xdr:row>
      <xdr:rowOff>57150</xdr:rowOff>
    </xdr:from>
    <xdr:to>
      <xdr:col>5</xdr:col>
      <xdr:colOff>666750</xdr:colOff>
      <xdr:row>24</xdr:row>
      <xdr:rowOff>104775</xdr:rowOff>
    </xdr:to>
    <xdr:graphicFrame>
      <xdr:nvGraphicFramePr>
        <xdr:cNvPr id="3" name="Chart 4"/>
        <xdr:cNvGraphicFramePr/>
      </xdr:nvGraphicFramePr>
      <xdr:xfrm>
        <a:off x="133350" y="1933575"/>
        <a:ext cx="43434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11</xdr:row>
      <xdr:rowOff>152400</xdr:rowOff>
    </xdr:from>
    <xdr:to>
      <xdr:col>4</xdr:col>
      <xdr:colOff>742950</xdr:colOff>
      <xdr:row>27</xdr:row>
      <xdr:rowOff>95250</xdr:rowOff>
    </xdr:to>
    <xdr:graphicFrame>
      <xdr:nvGraphicFramePr>
        <xdr:cNvPr id="4" name="Chart 5"/>
        <xdr:cNvGraphicFramePr/>
      </xdr:nvGraphicFramePr>
      <xdr:xfrm>
        <a:off x="171450" y="1866900"/>
        <a:ext cx="361950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125" zoomScaleNormal="125" workbookViewId="0" topLeftCell="A1">
      <selection activeCell="A25" sqref="A25:A26"/>
    </sheetView>
  </sheetViews>
  <sheetFormatPr defaultColWidth="11.421875" defaultRowHeight="12.75"/>
  <cols>
    <col min="3" max="3" width="2.28125" style="0" customWidth="1"/>
    <col min="5" max="5" width="4.00390625" style="0" customWidth="1"/>
    <col min="6" max="6" width="16.421875" style="0" customWidth="1"/>
    <col min="8" max="8" width="2.7109375" style="0" customWidth="1"/>
    <col min="10" max="10" width="9.421875" style="0" customWidth="1"/>
    <col min="11" max="11" width="7.7109375" style="0" customWidth="1"/>
    <col min="13" max="13" width="7.421875" style="0" customWidth="1"/>
  </cols>
  <sheetData>
    <row r="1" ht="12">
      <c r="A1" s="51" t="s">
        <v>2</v>
      </c>
    </row>
    <row r="3" ht="12">
      <c r="A3" t="s">
        <v>3</v>
      </c>
    </row>
    <row r="4" ht="12">
      <c r="A4" t="s">
        <v>0</v>
      </c>
    </row>
    <row r="5" ht="12">
      <c r="A5" t="s">
        <v>90</v>
      </c>
    </row>
    <row r="6" ht="12">
      <c r="A6" t="s">
        <v>99</v>
      </c>
    </row>
    <row r="7" ht="12">
      <c r="A7" t="s">
        <v>91</v>
      </c>
    </row>
    <row r="10" spans="2:9" ht="12">
      <c r="B10" s="2" t="s">
        <v>10</v>
      </c>
      <c r="C10" s="2"/>
      <c r="D10" s="2" t="s">
        <v>22</v>
      </c>
      <c r="E10" s="2"/>
      <c r="F10" s="6" t="s">
        <v>31</v>
      </c>
      <c r="G10" s="6">
        <f>D13*D18*(D14-D15)</f>
        <v>1925600.0000000002</v>
      </c>
      <c r="I10" t="s">
        <v>53</v>
      </c>
    </row>
    <row r="11" spans="2:6" ht="12">
      <c r="B11" s="2" t="s">
        <v>11</v>
      </c>
      <c r="C11" s="2"/>
      <c r="D11" s="2" t="s">
        <v>23</v>
      </c>
      <c r="E11" s="2"/>
      <c r="F11" s="6"/>
    </row>
    <row r="12" spans="1:12" ht="12">
      <c r="A12" t="s">
        <v>12</v>
      </c>
      <c r="B12" s="2" t="s">
        <v>30</v>
      </c>
      <c r="C12" s="2"/>
      <c r="D12" s="2" t="s">
        <v>29</v>
      </c>
      <c r="E12" s="2"/>
      <c r="F12" s="6" t="s">
        <v>32</v>
      </c>
      <c r="I12" t="s">
        <v>54</v>
      </c>
      <c r="L12" t="s">
        <v>60</v>
      </c>
    </row>
    <row r="13" spans="1:13" ht="12">
      <c r="A13" t="s">
        <v>24</v>
      </c>
      <c r="B13" s="4">
        <f>G10/(B18*(B15-B14))</f>
        <v>9.215601818616895</v>
      </c>
      <c r="C13" s="2"/>
      <c r="D13" s="4">
        <f>41500/3600</f>
        <v>11.527777777777779</v>
      </c>
      <c r="E13" s="2"/>
      <c r="F13" s="6" t="s">
        <v>38</v>
      </c>
      <c r="I13" s="6" t="s">
        <v>41</v>
      </c>
      <c r="J13" s="13">
        <f>D13*(G14/G31)/(D17*3.1416/4*G18^2)</f>
        <v>1.5204999944303272</v>
      </c>
      <c r="L13" t="s">
        <v>62</v>
      </c>
      <c r="M13" s="14">
        <f>B13/G34</f>
        <v>2231.908029262337</v>
      </c>
    </row>
    <row r="14" spans="1:13" ht="12">
      <c r="A14" t="s">
        <v>19</v>
      </c>
      <c r="B14" s="2">
        <v>35</v>
      </c>
      <c r="C14" s="2"/>
      <c r="D14" s="2">
        <v>140</v>
      </c>
      <c r="E14" s="2"/>
      <c r="F14" s="6" t="s">
        <v>55</v>
      </c>
      <c r="G14">
        <v>1</v>
      </c>
      <c r="I14" s="6" t="s">
        <v>56</v>
      </c>
      <c r="J14" s="15">
        <f>D17*J13*G18/D19</f>
        <v>12943.153466102049</v>
      </c>
      <c r="L14" t="s">
        <v>56</v>
      </c>
      <c r="M14" s="15">
        <f>M13*G33/B19</f>
        <v>86685.49070017326</v>
      </c>
    </row>
    <row r="15" spans="1:13" ht="12">
      <c r="A15" t="s">
        <v>20</v>
      </c>
      <c r="B15" s="2">
        <v>85</v>
      </c>
      <c r="C15" s="2"/>
      <c r="D15" s="2">
        <v>80</v>
      </c>
      <c r="E15" s="2"/>
      <c r="F15" s="6" t="s">
        <v>33</v>
      </c>
      <c r="I15" t="s">
        <v>42</v>
      </c>
      <c r="J15" s="7">
        <f>(1.58*LN(J14)-3.28)^(-2)</f>
        <v>0.0073302383610688</v>
      </c>
      <c r="L15" t="s">
        <v>61</v>
      </c>
      <c r="M15">
        <f>(B16+D16)/2</f>
        <v>85</v>
      </c>
    </row>
    <row r="16" spans="1:13" ht="12">
      <c r="A16" t="s">
        <v>13</v>
      </c>
      <c r="B16" s="2">
        <f>(B14+B15)/2</f>
        <v>60</v>
      </c>
      <c r="C16" s="2"/>
      <c r="D16" s="2">
        <f>(D14+D15)/2</f>
        <v>110</v>
      </c>
      <c r="E16" s="2"/>
      <c r="F16" s="6" t="s">
        <v>79</v>
      </c>
      <c r="G16">
        <v>54</v>
      </c>
      <c r="I16" t="s">
        <v>57</v>
      </c>
      <c r="J16" s="14">
        <f>(J15/2)*(J14-1000)*D21/(1+12.7*SQRT(J15/2)*(D21^(2/3)-1))</f>
        <v>149.8649452547981</v>
      </c>
      <c r="K16" t="s">
        <v>58</v>
      </c>
      <c r="L16" t="s">
        <v>64</v>
      </c>
      <c r="M16" s="17">
        <f>(-(3.47-3.72)/(87.78-82.22)*(87.787-85)+3.27)/10000</f>
        <v>0.0003395314748201439</v>
      </c>
    </row>
    <row r="17" spans="1:13" ht="12">
      <c r="A17" s="1" t="s">
        <v>18</v>
      </c>
      <c r="B17" s="2">
        <v>983.3</v>
      </c>
      <c r="C17" s="2"/>
      <c r="D17" s="2">
        <v>1052</v>
      </c>
      <c r="E17" s="2"/>
      <c r="F17" s="6" t="s">
        <v>34</v>
      </c>
      <c r="G17" s="9">
        <f>3/4*0.0254</f>
        <v>0.019049999999999997</v>
      </c>
      <c r="I17" t="s">
        <v>100</v>
      </c>
      <c r="J17" s="15">
        <f>J16*D20/G18</f>
        <v>2512.3409669333696</v>
      </c>
      <c r="L17" t="s">
        <v>65</v>
      </c>
      <c r="M17" s="13">
        <f>(B19/M16)^0.14</f>
        <v>1.046886793998461</v>
      </c>
    </row>
    <row r="18" spans="1:14" ht="12">
      <c r="A18" t="s">
        <v>14</v>
      </c>
      <c r="B18" s="2">
        <v>4179</v>
      </c>
      <c r="C18" s="2"/>
      <c r="D18" s="2">
        <v>2784</v>
      </c>
      <c r="E18" s="2"/>
      <c r="F18" s="6" t="s">
        <v>35</v>
      </c>
      <c r="G18" s="9">
        <f>0.62*0.0254</f>
        <v>0.015747999999999998</v>
      </c>
      <c r="L18" t="s">
        <v>57</v>
      </c>
      <c r="M18" s="14">
        <f>0.36*M14^0.55*B21^(1/3)*M17</f>
        <v>282.87522600319244</v>
      </c>
      <c r="N18" t="s">
        <v>66</v>
      </c>
    </row>
    <row r="19" spans="1:13" ht="12">
      <c r="A19" t="s">
        <v>15</v>
      </c>
      <c r="B19" s="2">
        <v>0.000471</v>
      </c>
      <c r="C19" s="2"/>
      <c r="D19" s="3">
        <f>0.00000185*D17</f>
        <v>0.0019462000000000001</v>
      </c>
      <c r="E19" s="2"/>
      <c r="F19" s="6" t="s">
        <v>36</v>
      </c>
      <c r="G19" s="8">
        <v>1.21</v>
      </c>
      <c r="L19" t="s">
        <v>63</v>
      </c>
      <c r="M19" s="15">
        <f>M18*B20/G33</f>
        <v>10113.037968499493</v>
      </c>
    </row>
    <row r="20" spans="1:7" ht="12">
      <c r="A20" t="s">
        <v>16</v>
      </c>
      <c r="B20" s="2">
        <v>0.654</v>
      </c>
      <c r="C20" s="2"/>
      <c r="D20" s="2">
        <v>0.264</v>
      </c>
      <c r="E20" s="2"/>
      <c r="F20" s="6" t="s">
        <v>37</v>
      </c>
      <c r="G20" s="8">
        <f>0.0254*1</f>
        <v>0.0254</v>
      </c>
    </row>
    <row r="21" spans="1:12" ht="12">
      <c r="A21" t="s">
        <v>17</v>
      </c>
      <c r="B21" s="2">
        <v>3.01</v>
      </c>
      <c r="C21" s="2"/>
      <c r="D21" s="5">
        <f>D19*D18/D20</f>
        <v>20.523563636363637</v>
      </c>
      <c r="E21" s="2"/>
      <c r="F21" s="6" t="s">
        <v>50</v>
      </c>
      <c r="G21" s="8">
        <v>0.4</v>
      </c>
      <c r="I21" t="s">
        <v>67</v>
      </c>
      <c r="J21" s="17">
        <f>0.00009</f>
        <v>9E-05</v>
      </c>
      <c r="K21" t="s">
        <v>74</v>
      </c>
      <c r="L21" s="16">
        <f>J26*D23/J22</f>
        <v>23.73061523650494</v>
      </c>
    </row>
    <row r="22" spans="1:12" ht="12">
      <c r="A22" t="s">
        <v>21</v>
      </c>
      <c r="B22" s="2">
        <v>8.8E-05</v>
      </c>
      <c r="C22" s="2"/>
      <c r="D22" s="2">
        <v>0.000352</v>
      </c>
      <c r="E22" s="2"/>
      <c r="F22" s="6" t="s">
        <v>39</v>
      </c>
      <c r="G22" s="8" t="s">
        <v>40</v>
      </c>
      <c r="I22" t="s">
        <v>68</v>
      </c>
      <c r="J22" s="15">
        <f>1/(1/M19+G19/J17+G17*LN(G19)/(2*G16))</f>
        <v>1628.3247919653568</v>
      </c>
      <c r="K22" t="s">
        <v>75</v>
      </c>
      <c r="L22" s="16">
        <f>J26*D23/J23</f>
        <v>27.208318657142204</v>
      </c>
    </row>
    <row r="23" spans="1:12" ht="12">
      <c r="A23" t="s">
        <v>70</v>
      </c>
      <c r="B23" s="2">
        <f>B13*B18</f>
        <v>38512</v>
      </c>
      <c r="C23" s="2"/>
      <c r="D23" s="18">
        <f>D13*D18</f>
        <v>32093.333333333336</v>
      </c>
      <c r="E23" s="2"/>
      <c r="F23" s="12" t="s">
        <v>45</v>
      </c>
      <c r="G23" s="8">
        <v>0.045</v>
      </c>
      <c r="I23" t="s">
        <v>69</v>
      </c>
      <c r="J23" s="15">
        <f>(1/J22+J21)^(-1)</f>
        <v>1420.1961394644466</v>
      </c>
      <c r="K23" t="s">
        <v>76</v>
      </c>
      <c r="L23" s="13">
        <f>J23/J22</f>
        <v>0.8721823474481999</v>
      </c>
    </row>
    <row r="24" spans="2:12" ht="12">
      <c r="B24" s="2"/>
      <c r="C24" s="2"/>
      <c r="D24" s="2"/>
      <c r="E24" s="2"/>
      <c r="F24" s="12" t="s">
        <v>46</v>
      </c>
      <c r="G24" s="9">
        <f>G23/(G18*1000)</f>
        <v>0.0028575057150114305</v>
      </c>
      <c r="I24" t="s">
        <v>71</v>
      </c>
      <c r="J24" s="13">
        <f>D23/B23</f>
        <v>0.8333333333333334</v>
      </c>
      <c r="K24" t="s">
        <v>77</v>
      </c>
      <c r="L24" s="14">
        <f>100*J22*J21</f>
        <v>14.654923127688212</v>
      </c>
    </row>
    <row r="25" spans="1:12" ht="12">
      <c r="A25" s="51" t="s">
        <v>4</v>
      </c>
      <c r="B25" s="2"/>
      <c r="C25" s="2"/>
      <c r="D25" s="2"/>
      <c r="E25" s="2"/>
      <c r="F25" s="6" t="s">
        <v>42</v>
      </c>
      <c r="G25" s="9">
        <v>0.0065</v>
      </c>
      <c r="I25" s="12" t="s">
        <v>72</v>
      </c>
      <c r="J25" s="13">
        <f>(D14-D15)/(D14-B14)</f>
        <v>0.5714285714285714</v>
      </c>
      <c r="K25" t="s">
        <v>78</v>
      </c>
      <c r="L25" s="16">
        <f>L22/(3.1416*G17*G31)</f>
        <v>12.287233542774835</v>
      </c>
    </row>
    <row r="26" spans="1:12" ht="12">
      <c r="A26" s="51" t="s">
        <v>5</v>
      </c>
      <c r="B26" s="2"/>
      <c r="C26" s="2"/>
      <c r="D26" s="2"/>
      <c r="E26" s="2"/>
      <c r="F26" s="6" t="s">
        <v>41</v>
      </c>
      <c r="G26" s="10">
        <f>SQRT(1000/(2*G25*D17/G18))</f>
        <v>1.07308261023484</v>
      </c>
      <c r="I26" t="s">
        <v>73</v>
      </c>
      <c r="J26" s="16">
        <f>1/(J24-1)*LN((J25-1)/(J25*J24-1))</f>
        <v>1.204024172772907</v>
      </c>
      <c r="K26" t="s">
        <v>86</v>
      </c>
      <c r="L26" s="15">
        <f>L25/G32-1</f>
        <v>150.1716725242967</v>
      </c>
    </row>
    <row r="27" spans="2:7" ht="12">
      <c r="B27" s="2"/>
      <c r="C27" s="2"/>
      <c r="D27" s="2"/>
      <c r="E27" s="2"/>
      <c r="F27" s="6" t="s">
        <v>43</v>
      </c>
      <c r="G27" s="10">
        <f>D17*G26*3.1416/4*G18^2</f>
        <v>0.21988246955211888</v>
      </c>
    </row>
    <row r="28" spans="2:9" ht="12">
      <c r="B28" s="2"/>
      <c r="C28" s="2"/>
      <c r="D28" s="2"/>
      <c r="E28" s="2"/>
      <c r="F28" s="6" t="s">
        <v>44</v>
      </c>
      <c r="G28" s="11">
        <f>D13/G27*G14</f>
        <v>52.426997937847624</v>
      </c>
      <c r="I28" t="s">
        <v>80</v>
      </c>
    </row>
    <row r="29" spans="2:12" ht="12">
      <c r="B29" s="2"/>
      <c r="C29" s="2"/>
      <c r="D29" s="2"/>
      <c r="E29" s="2"/>
      <c r="F29" s="6" t="s">
        <v>47</v>
      </c>
      <c r="G29" s="8"/>
      <c r="I29" t="s">
        <v>54</v>
      </c>
      <c r="L29" t="s">
        <v>60</v>
      </c>
    </row>
    <row r="30" spans="2:13" ht="12">
      <c r="B30" s="2"/>
      <c r="C30" s="2"/>
      <c r="D30" s="2"/>
      <c r="E30" s="2"/>
      <c r="F30" s="6" t="s">
        <v>48</v>
      </c>
      <c r="G30" s="8">
        <f>H30*0.0254</f>
        <v>0.2032</v>
      </c>
      <c r="H30">
        <v>8</v>
      </c>
      <c r="I30" s="12" t="s">
        <v>81</v>
      </c>
      <c r="J30" s="9">
        <v>0.0028575057150114305</v>
      </c>
      <c r="L30" s="12" t="s">
        <v>102</v>
      </c>
      <c r="M30" s="17">
        <f>G23/(1000*G33)</f>
        <v>0.0024599228649199232</v>
      </c>
    </row>
    <row r="31" spans="2:13" ht="12">
      <c r="B31" s="2"/>
      <c r="C31" s="2"/>
      <c r="D31" s="2"/>
      <c r="E31" s="2"/>
      <c r="F31" s="6" t="s">
        <v>44</v>
      </c>
      <c r="G31">
        <v>37</v>
      </c>
      <c r="I31" t="s">
        <v>56</v>
      </c>
      <c r="J31" s="15">
        <f>J14</f>
        <v>12943.153466102049</v>
      </c>
      <c r="L31" t="s">
        <v>56</v>
      </c>
      <c r="M31" s="15">
        <f>M14</f>
        <v>86685.49070017326</v>
      </c>
    </row>
    <row r="32" spans="2:13" ht="12">
      <c r="B32" s="2"/>
      <c r="C32" s="2"/>
      <c r="D32" s="2"/>
      <c r="E32" s="2"/>
      <c r="F32" s="6" t="s">
        <v>49</v>
      </c>
      <c r="G32">
        <f>G21*G30</f>
        <v>0.08128</v>
      </c>
      <c r="I32" t="s">
        <v>82</v>
      </c>
      <c r="J32">
        <f>(2.457*LN(1/((7/J31)^0.9+0.27*J30)))^16</f>
        <v>9.708708535806298E+18</v>
      </c>
      <c r="L32" t="s">
        <v>82</v>
      </c>
      <c r="M32">
        <f>(2.457*LN(1/((7/M31)^0.9+0.27*M30)))^16</f>
        <v>6.5010071643781865E+19</v>
      </c>
    </row>
    <row r="33" spans="2:13" ht="12">
      <c r="B33" s="2"/>
      <c r="C33" s="2"/>
      <c r="D33" s="2"/>
      <c r="E33" s="2"/>
      <c r="F33" s="6" t="s">
        <v>51</v>
      </c>
      <c r="G33" s="13">
        <f>4/(3.1416*G17)*(SQRT(3)/2*G20^2-3.1416*G17^2/4)</f>
        <v>0.018293256525124767</v>
      </c>
      <c r="I33" t="s">
        <v>83</v>
      </c>
      <c r="J33">
        <f>(37530/J31)^16</f>
        <v>24969820.533242933</v>
      </c>
      <c r="L33" t="s">
        <v>83</v>
      </c>
      <c r="M33">
        <f>(37530/M31)^16</f>
        <v>1.523752529595783E-06</v>
      </c>
    </row>
    <row r="34" spans="2:13" ht="12">
      <c r="B34" s="2"/>
      <c r="C34" s="2"/>
      <c r="D34" s="2"/>
      <c r="E34" s="2"/>
      <c r="F34" s="6" t="s">
        <v>52</v>
      </c>
      <c r="G34" s="7">
        <f>(G20-G17)/G20*G30*G32</f>
        <v>0.004129024000000001</v>
      </c>
      <c r="I34" t="s">
        <v>42</v>
      </c>
      <c r="J34" s="17">
        <f>2*((8/J31)^12+1/(J32+J33)^(3/2))^(1/12)</f>
        <v>0.008465153014603568</v>
      </c>
      <c r="K34" s="16"/>
      <c r="L34" t="s">
        <v>42</v>
      </c>
      <c r="M34" s="17">
        <f>2*((8/M31)^12+1/(M32+M33)^(3/2))^(1/12)</f>
        <v>0.006674325994112258</v>
      </c>
    </row>
    <row r="35" spans="2:13" ht="12">
      <c r="B35" s="2"/>
      <c r="C35" s="2"/>
      <c r="D35" s="2"/>
      <c r="E35" s="2"/>
      <c r="F35" s="6"/>
      <c r="I35" t="s">
        <v>84</v>
      </c>
      <c r="J35" s="15">
        <f>G14*2*J34*L25/G18*D17*J13^2+(G14-1)*D17*J13^2*2</f>
        <v>32127.882355557973</v>
      </c>
      <c r="L35" t="s">
        <v>84</v>
      </c>
      <c r="M35" s="14">
        <f>M34*M13^2*(L26+1)*G30/(B17*G33)</f>
        <v>56777.604093734335</v>
      </c>
    </row>
    <row r="36" spans="2:13" ht="12">
      <c r="B36" s="2"/>
      <c r="C36" s="2"/>
      <c r="D36" s="2"/>
      <c r="E36" s="2"/>
      <c r="F36" s="6"/>
      <c r="I36" t="s">
        <v>85</v>
      </c>
      <c r="J36" s="15">
        <f>J35/L25</f>
        <v>2614.736852173684</v>
      </c>
      <c r="L36" t="s">
        <v>85</v>
      </c>
      <c r="M36" s="15">
        <f>M35/L25</f>
        <v>4620.861473502375</v>
      </c>
    </row>
    <row r="37" spans="2:6" ht="12">
      <c r="B37" s="2"/>
      <c r="C37" s="2"/>
      <c r="D37" s="2"/>
      <c r="E37" s="2"/>
      <c r="F37" s="6"/>
    </row>
  </sheetData>
  <printOptions/>
  <pageMargins left="0.75" right="0.75" top="1" bottom="1" header="0" footer="0"/>
  <pageSetup horizontalDpi="360" verticalDpi="36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C3">
      <selection activeCell="G11" sqref="G11"/>
    </sheetView>
  </sheetViews>
  <sheetFormatPr defaultColWidth="11.421875" defaultRowHeight="12.75"/>
  <cols>
    <col min="1" max="1" width="13.28125" style="0" customWidth="1"/>
    <col min="2" max="8" width="9.421875" style="2" customWidth="1"/>
    <col min="9" max="9" width="9.421875" style="0" customWidth="1"/>
    <col min="10" max="10" width="9.421875" style="2" customWidth="1"/>
  </cols>
  <sheetData>
    <row r="3" spans="1:10" ht="12">
      <c r="A3" t="s">
        <v>92</v>
      </c>
      <c r="B3" s="37" t="s">
        <v>93</v>
      </c>
      <c r="C3" s="38" t="s">
        <v>93</v>
      </c>
      <c r="D3" s="39" t="s">
        <v>93</v>
      </c>
      <c r="E3" s="37" t="s">
        <v>94</v>
      </c>
      <c r="F3" s="38" t="s">
        <v>94</v>
      </c>
      <c r="G3" s="44" t="s">
        <v>94</v>
      </c>
      <c r="H3" s="37" t="s">
        <v>95</v>
      </c>
      <c r="I3" s="38" t="s">
        <v>95</v>
      </c>
      <c r="J3" s="39" t="s">
        <v>95</v>
      </c>
    </row>
    <row r="4" spans="1:10" ht="12">
      <c r="A4" s="40" t="s">
        <v>96</v>
      </c>
      <c r="B4" s="19">
        <v>8</v>
      </c>
      <c r="C4" s="20">
        <v>10</v>
      </c>
      <c r="D4" s="21">
        <v>12</v>
      </c>
      <c r="E4" s="19">
        <v>8</v>
      </c>
      <c r="F4" s="20">
        <v>10</v>
      </c>
      <c r="G4" s="45">
        <v>12</v>
      </c>
      <c r="H4" s="19">
        <v>8</v>
      </c>
      <c r="I4" s="20">
        <v>10</v>
      </c>
      <c r="J4" s="21">
        <v>12</v>
      </c>
    </row>
    <row r="5" spans="1:10" ht="12">
      <c r="A5" s="41" t="s">
        <v>44</v>
      </c>
      <c r="B5" s="19">
        <v>37</v>
      </c>
      <c r="C5" s="20">
        <v>61</v>
      </c>
      <c r="D5" s="21">
        <v>92</v>
      </c>
      <c r="E5" s="19">
        <v>30</v>
      </c>
      <c r="F5" s="20">
        <v>52</v>
      </c>
      <c r="G5" s="45">
        <v>82</v>
      </c>
      <c r="H5" s="19">
        <v>24</v>
      </c>
      <c r="I5" s="20">
        <v>40</v>
      </c>
      <c r="J5" s="21">
        <v>76</v>
      </c>
    </row>
    <row r="6" spans="1:10" ht="12">
      <c r="A6" s="41" t="s">
        <v>106</v>
      </c>
      <c r="B6" s="22">
        <v>1.5204999944303272</v>
      </c>
      <c r="C6" s="20">
        <v>0.92</v>
      </c>
      <c r="D6" s="21">
        <v>0.61</v>
      </c>
      <c r="E6" s="19">
        <v>3.75</v>
      </c>
      <c r="F6" s="20">
        <v>2.16</v>
      </c>
      <c r="G6" s="45">
        <v>1.37</v>
      </c>
      <c r="H6" s="19">
        <v>9.38</v>
      </c>
      <c r="I6" s="34">
        <v>5.63</v>
      </c>
      <c r="J6" s="35">
        <v>2.96</v>
      </c>
    </row>
    <row r="7" spans="1:10" ht="12">
      <c r="A7" s="41" t="s">
        <v>101</v>
      </c>
      <c r="B7" s="23">
        <v>2232</v>
      </c>
      <c r="C7" s="24">
        <v>1428</v>
      </c>
      <c r="D7" s="25">
        <v>992</v>
      </c>
      <c r="E7" s="23">
        <v>2232</v>
      </c>
      <c r="F7" s="24">
        <v>1428</v>
      </c>
      <c r="G7" s="46">
        <v>992</v>
      </c>
      <c r="H7" s="23">
        <v>2232</v>
      </c>
      <c r="I7" s="24">
        <v>1428</v>
      </c>
      <c r="J7" s="25">
        <v>992</v>
      </c>
    </row>
    <row r="8" spans="1:10" ht="12">
      <c r="A8" s="41" t="s">
        <v>104</v>
      </c>
      <c r="B8" s="23">
        <v>2512</v>
      </c>
      <c r="C8" s="24">
        <v>1563</v>
      </c>
      <c r="D8" s="25">
        <v>1030</v>
      </c>
      <c r="E8" s="23">
        <v>5682</v>
      </c>
      <c r="F8" s="24">
        <v>3470</v>
      </c>
      <c r="G8" s="46">
        <v>2284</v>
      </c>
      <c r="H8" s="23">
        <v>12781</v>
      </c>
      <c r="I8" s="24">
        <v>8140</v>
      </c>
      <c r="J8" s="25">
        <v>4601</v>
      </c>
    </row>
    <row r="9" spans="1:10" ht="12">
      <c r="A9" s="41" t="s">
        <v>105</v>
      </c>
      <c r="B9" s="19">
        <v>10113</v>
      </c>
      <c r="C9" s="20">
        <v>7912</v>
      </c>
      <c r="D9" s="21">
        <v>6474</v>
      </c>
      <c r="E9" s="19">
        <v>10113</v>
      </c>
      <c r="F9" s="20">
        <v>7912</v>
      </c>
      <c r="G9" s="45">
        <v>6474</v>
      </c>
      <c r="H9" s="19">
        <v>10113</v>
      </c>
      <c r="I9" s="34">
        <v>7912</v>
      </c>
      <c r="J9" s="35">
        <v>6474</v>
      </c>
    </row>
    <row r="10" spans="1:10" ht="12">
      <c r="A10" s="41" t="s">
        <v>107</v>
      </c>
      <c r="B10" s="23">
        <v>1628.3247919653568</v>
      </c>
      <c r="C10" s="24">
        <v>1070.63437246592</v>
      </c>
      <c r="D10" s="25">
        <v>733.84484335451</v>
      </c>
      <c r="E10" s="18">
        <v>2894.6348252726666</v>
      </c>
      <c r="F10" s="24">
        <v>1965.6102926717138</v>
      </c>
      <c r="G10" s="46">
        <v>1392.8738752958939</v>
      </c>
      <c r="H10" s="23">
        <v>4401.8036199446815</v>
      </c>
      <c r="I10" s="24">
        <v>3239.788702000967</v>
      </c>
      <c r="J10" s="25">
        <v>2217.0717890066167</v>
      </c>
    </row>
    <row r="11" spans="1:10" ht="12">
      <c r="A11" s="41" t="s">
        <v>108</v>
      </c>
      <c r="B11" s="23">
        <v>1420.1961394644466</v>
      </c>
      <c r="C11" s="24">
        <v>976.5380082748577</v>
      </c>
      <c r="D11" s="25">
        <v>688.3800686277642</v>
      </c>
      <c r="E11" s="18">
        <v>2296.3867341149653</v>
      </c>
      <c r="F11" s="24">
        <v>1670.1521496589464</v>
      </c>
      <c r="G11" s="46">
        <v>1237.7155290094206</v>
      </c>
      <c r="H11" s="23">
        <v>3152.7878518267194</v>
      </c>
      <c r="I11" s="24">
        <v>2508.38990678236</v>
      </c>
      <c r="J11" s="25">
        <v>1848.2737799722731</v>
      </c>
    </row>
    <row r="12" spans="1:10" ht="12">
      <c r="A12" s="41" t="s">
        <v>109</v>
      </c>
      <c r="B12" s="22">
        <v>23.73061523650494</v>
      </c>
      <c r="C12" s="26">
        <v>36.091825661446194</v>
      </c>
      <c r="D12" s="27">
        <v>52.65574796650147</v>
      </c>
      <c r="E12" s="30">
        <v>7.025235147773472</v>
      </c>
      <c r="F12" s="26">
        <v>10.345636869266736</v>
      </c>
      <c r="G12" s="47">
        <v>14.599663813893207</v>
      </c>
      <c r="H12" s="28">
        <v>4.619808621705441</v>
      </c>
      <c r="I12" s="26">
        <v>6.276795243441339</v>
      </c>
      <c r="J12" s="27">
        <v>9.172229070483189</v>
      </c>
    </row>
    <row r="13" spans="1:10" ht="12">
      <c r="A13" s="41" t="s">
        <v>110</v>
      </c>
      <c r="B13" s="22">
        <v>27.208318657142204</v>
      </c>
      <c r="C13" s="26">
        <v>39.56952908208345</v>
      </c>
      <c r="D13" s="27">
        <v>56.13345138713874</v>
      </c>
      <c r="E13" s="30">
        <v>8.855429276076194</v>
      </c>
      <c r="F13" s="26">
        <v>12.175830997569456</v>
      </c>
      <c r="G13" s="47">
        <v>16.429857942195927</v>
      </c>
      <c r="H13" s="28">
        <v>6.45000275000816</v>
      </c>
      <c r="I13" s="26">
        <v>8.106989371744058</v>
      </c>
      <c r="J13" s="27">
        <v>11.002423198785909</v>
      </c>
    </row>
    <row r="14" spans="1:10" ht="12">
      <c r="A14" s="41" t="s">
        <v>97</v>
      </c>
      <c r="B14" s="28">
        <v>0.8721823474481999</v>
      </c>
      <c r="C14" s="29">
        <v>0.912111579255263</v>
      </c>
      <c r="D14" s="27">
        <v>0.9380457938235012</v>
      </c>
      <c r="E14" s="30">
        <v>0.793325193929653</v>
      </c>
      <c r="F14" s="26">
        <v>0.8496863065306948</v>
      </c>
      <c r="G14" s="47">
        <v>0.8886056023891522</v>
      </c>
      <c r="H14" s="28">
        <v>0.7162490933355953</v>
      </c>
      <c r="I14" s="26">
        <v>0.7742449083895877</v>
      </c>
      <c r="J14" s="27">
        <v>0.8336553598024954</v>
      </c>
    </row>
    <row r="15" spans="1:10" ht="12">
      <c r="A15" s="41" t="s">
        <v>98</v>
      </c>
      <c r="B15" s="23">
        <v>14.654923127688212</v>
      </c>
      <c r="C15" s="24">
        <v>9.635709352193281</v>
      </c>
      <c r="D15" s="25">
        <v>6.60460359019059</v>
      </c>
      <c r="E15" s="23">
        <v>26.051713427454</v>
      </c>
      <c r="F15" s="24">
        <v>17.690492634045423</v>
      </c>
      <c r="G15" s="46">
        <v>12.535864877663045</v>
      </c>
      <c r="H15" s="23">
        <v>39.61623257950213</v>
      </c>
      <c r="I15" s="26">
        <v>29.158098318008705</v>
      </c>
      <c r="J15" s="27">
        <v>19.95364610105955</v>
      </c>
    </row>
    <row r="16" spans="1:10" ht="12">
      <c r="A16" s="41" t="s">
        <v>111</v>
      </c>
      <c r="B16" s="22">
        <v>12.287233542774835</v>
      </c>
      <c r="C16" s="26">
        <v>10.838899225570048</v>
      </c>
      <c r="D16" s="27">
        <v>10.195019251099112</v>
      </c>
      <c r="E16" s="30">
        <v>4.932220636010179</v>
      </c>
      <c r="F16" s="26">
        <v>3.9124553967369207</v>
      </c>
      <c r="G16" s="47">
        <v>3.347912414128244</v>
      </c>
      <c r="H16" s="22">
        <v>4.490583640007455</v>
      </c>
      <c r="I16" s="26">
        <v>3.3865207740342864</v>
      </c>
      <c r="J16" s="27">
        <v>2.418961104123592</v>
      </c>
    </row>
    <row r="17" spans="1:10" ht="12">
      <c r="A17" s="41" t="s">
        <v>112</v>
      </c>
      <c r="B17" s="23">
        <v>150.1716725242967</v>
      </c>
      <c r="C17" s="24">
        <v>105.68207899183116</v>
      </c>
      <c r="D17" s="25">
        <v>82.62056472358196</v>
      </c>
      <c r="E17" s="23">
        <v>59.68184837610948</v>
      </c>
      <c r="F17" s="24">
        <v>37.508419259221654</v>
      </c>
      <c r="G17" s="46">
        <v>26.459911533204107</v>
      </c>
      <c r="H17" s="23">
        <v>54.2483223426114</v>
      </c>
      <c r="I17" s="24">
        <v>32.331897382227226</v>
      </c>
      <c r="J17" s="25">
        <v>18.840560237234186</v>
      </c>
    </row>
    <row r="18" spans="1:10" ht="12">
      <c r="A18" s="41" t="s">
        <v>113</v>
      </c>
      <c r="B18" s="23">
        <v>32127.882355557973</v>
      </c>
      <c r="C18" s="24">
        <v>11474.936899128026</v>
      </c>
      <c r="D18" s="25">
        <v>5210.2271638619795</v>
      </c>
      <c r="E18" s="23">
        <v>168052.13590237137</v>
      </c>
      <c r="F18" s="24">
        <v>49030.1129910228</v>
      </c>
      <c r="G18" s="46">
        <v>18479.725542022243</v>
      </c>
      <c r="H18" s="19">
        <v>2017578.2667618445</v>
      </c>
      <c r="I18" s="50">
        <v>611394.8976814026</v>
      </c>
      <c r="J18" s="25">
        <v>142321.55945334</v>
      </c>
    </row>
    <row r="19" spans="1:11" ht="12">
      <c r="A19" s="43" t="s">
        <v>103</v>
      </c>
      <c r="B19" s="23">
        <v>2614.736852173684</v>
      </c>
      <c r="C19" s="24">
        <v>1058.681021044785</v>
      </c>
      <c r="D19" s="24">
        <v>511.05613785871685</v>
      </c>
      <c r="E19" s="23">
        <v>34072.307040650514</v>
      </c>
      <c r="F19" s="24">
        <v>12531.801137443013</v>
      </c>
      <c r="G19" s="48">
        <v>5519.775685898324</v>
      </c>
      <c r="H19" s="23">
        <v>449290.8780914044</v>
      </c>
      <c r="I19" s="24">
        <v>180537.76677503192</v>
      </c>
      <c r="J19" s="24">
        <v>58835.81972886009</v>
      </c>
      <c r="K19" s="43"/>
    </row>
    <row r="20" spans="1:10" ht="12">
      <c r="A20" s="42" t="s">
        <v>114</v>
      </c>
      <c r="B20" s="31">
        <v>56780</v>
      </c>
      <c r="C20" s="32">
        <v>21180</v>
      </c>
      <c r="D20" s="33">
        <v>9937</v>
      </c>
      <c r="E20" s="31">
        <v>22791</v>
      </c>
      <c r="F20" s="32">
        <v>7644</v>
      </c>
      <c r="G20" s="49">
        <v>3263</v>
      </c>
      <c r="H20" s="31">
        <v>20750</v>
      </c>
      <c r="I20" s="36">
        <v>6617</v>
      </c>
      <c r="J20" s="33">
        <v>2358</v>
      </c>
    </row>
  </sheetData>
  <printOptions/>
  <pageMargins left="0.75" right="0.75" top="1" bottom="1" header="0" footer="0"/>
  <pageSetup horizontalDpi="360" verticalDpi="36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11"/>
  <sheetViews>
    <sheetView workbookViewId="0" topLeftCell="A9">
      <selection activeCell="M20" sqref="M20"/>
    </sheetView>
  </sheetViews>
  <sheetFormatPr defaultColWidth="11.421875" defaultRowHeight="12.75"/>
  <sheetData>
    <row r="5" spans="1:5" ht="12">
      <c r="A5" t="s">
        <v>25</v>
      </c>
      <c r="B5" t="s">
        <v>26</v>
      </c>
      <c r="C5" t="s">
        <v>27</v>
      </c>
      <c r="D5" s="1" t="s">
        <v>28</v>
      </c>
      <c r="E5" t="s">
        <v>1</v>
      </c>
    </row>
    <row r="6" spans="1:5" ht="12">
      <c r="A6">
        <v>0.1</v>
      </c>
      <c r="B6">
        <v>1130.75</v>
      </c>
      <c r="C6">
        <v>2294</v>
      </c>
      <c r="D6">
        <v>57.53</v>
      </c>
      <c r="E6">
        <v>0.242</v>
      </c>
    </row>
    <row r="7" spans="1:5" ht="12">
      <c r="A7">
        <v>20</v>
      </c>
      <c r="B7">
        <v>1116.65</v>
      </c>
      <c r="C7">
        <v>2382</v>
      </c>
      <c r="D7">
        <v>19.18</v>
      </c>
      <c r="E7">
        <v>0.249</v>
      </c>
    </row>
    <row r="8" spans="1:5" ht="12">
      <c r="A8">
        <v>40</v>
      </c>
      <c r="B8">
        <v>1101.43</v>
      </c>
      <c r="C8">
        <v>2474</v>
      </c>
      <c r="D8">
        <v>8.69</v>
      </c>
      <c r="E8">
        <v>0.256</v>
      </c>
    </row>
    <row r="9" spans="1:5" ht="12">
      <c r="A9">
        <v>60</v>
      </c>
      <c r="B9">
        <v>1087.66</v>
      </c>
      <c r="C9">
        <v>2562</v>
      </c>
      <c r="D9">
        <v>4.75</v>
      </c>
      <c r="E9">
        <v>0.26</v>
      </c>
    </row>
    <row r="10" spans="1:5" ht="12">
      <c r="A10">
        <v>80</v>
      </c>
      <c r="B10">
        <v>1077.56</v>
      </c>
      <c r="C10">
        <v>2650</v>
      </c>
      <c r="D10">
        <v>2.98</v>
      </c>
      <c r="E10">
        <v>0.261</v>
      </c>
    </row>
    <row r="11" spans="1:5" ht="12">
      <c r="A11">
        <v>100</v>
      </c>
      <c r="B11">
        <v>1058.5</v>
      </c>
      <c r="C11">
        <v>2742</v>
      </c>
      <c r="D11">
        <v>2.03</v>
      </c>
      <c r="E11">
        <v>0.263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31"/>
  <sheetViews>
    <sheetView zoomScale="125" zoomScaleNormal="125" workbookViewId="0" topLeftCell="A1">
      <selection activeCell="A20" sqref="A20:A21"/>
    </sheetView>
  </sheetViews>
  <sheetFormatPr defaultColWidth="11.421875" defaultRowHeight="12.75"/>
  <cols>
    <col min="6" max="6" width="15.42187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87</v>
      </c>
      <c r="I8" s="6" t="s">
        <v>41</v>
      </c>
      <c r="J8" s="13">
        <f>D8*(G9/G26)/(D12*3.1416/4*G13^2)</f>
        <v>3.75056665292814</v>
      </c>
      <c r="L8" t="s">
        <v>62</v>
      </c>
      <c r="M8" s="14">
        <f>B8/G29</f>
        <v>2231.908029262337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2</v>
      </c>
      <c r="I9" s="6" t="s">
        <v>56</v>
      </c>
      <c r="J9" s="15">
        <f>D12*J8*G13/D14</f>
        <v>31926.445216385047</v>
      </c>
      <c r="L9" t="s">
        <v>56</v>
      </c>
      <c r="M9" s="15">
        <f>M8*G28/B14</f>
        <v>86685.49070017326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0.005821405526438611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338.92723002992665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5681.787447796587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282.87522600319244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10113.037968499493</v>
      </c>
    </row>
    <row r="15" spans="1:12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  <c r="I15" t="s">
        <v>67</v>
      </c>
      <c r="J15" s="17">
        <f>0.00009</f>
        <v>9E-05</v>
      </c>
      <c r="K15" t="s">
        <v>74</v>
      </c>
      <c r="L15" s="16">
        <f>J21*D18/J16</f>
        <v>7.025235147773472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68</v>
      </c>
      <c r="J16" s="15">
        <f>1/(1/M14+G14/J12+G12*LN(G14)/(2*G11))</f>
        <v>2894.6348252726666</v>
      </c>
      <c r="K16" t="s">
        <v>75</v>
      </c>
      <c r="L16" s="16">
        <f>J21*D18/J17</f>
        <v>8.855429276076194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69</v>
      </c>
      <c r="J17" s="15">
        <f>(1/J16+J15)^(-1)</f>
        <v>2296.3867341149653</v>
      </c>
      <c r="K17" t="s">
        <v>76</v>
      </c>
      <c r="L17" s="16">
        <f>J17/J16</f>
        <v>0.793325193929653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71</v>
      </c>
      <c r="J18" s="13">
        <f>D18/B18</f>
        <v>0.8333333333333334</v>
      </c>
      <c r="K18" t="s">
        <v>77</v>
      </c>
      <c r="L18" s="15">
        <f>100*J16*J15</f>
        <v>26.051713427454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s="12" t="s">
        <v>72</v>
      </c>
      <c r="J19" s="13">
        <f>(D9-D10)/(D9-B9)</f>
        <v>0.5714285714285714</v>
      </c>
      <c r="K19" t="s">
        <v>78</v>
      </c>
      <c r="L19" s="14">
        <f>L16/(3.1416*G12*G26)</f>
        <v>4.932220636010179</v>
      </c>
    </row>
    <row r="20" spans="1:12" ht="12">
      <c r="A20" s="51" t="s">
        <v>6</v>
      </c>
      <c r="B20" s="2"/>
      <c r="C20" s="2"/>
      <c r="D20" s="2"/>
      <c r="E20" s="2"/>
      <c r="F20" s="6" t="s">
        <v>42</v>
      </c>
      <c r="G20" s="9">
        <v>0.0065</v>
      </c>
      <c r="I20" t="s">
        <v>88</v>
      </c>
      <c r="J20" s="16">
        <f>(2/J19-1+J18)/SQRT(1+J18^2)</f>
        <v>2.5607375986579193</v>
      </c>
      <c r="K20" t="s">
        <v>86</v>
      </c>
      <c r="L20" s="16">
        <f>L19/G27-1</f>
        <v>59.68184837610948</v>
      </c>
    </row>
    <row r="21" spans="1:12" ht="12">
      <c r="A21" s="51" t="s">
        <v>5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-1/SQRT(J18^2+1)*LN((J20-1)/(J20+1))</f>
        <v>0.6336359674223512</v>
      </c>
      <c r="L21" s="15"/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104.85399587569525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0.2032</v>
      </c>
      <c r="H25">
        <v>8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30</v>
      </c>
      <c r="I26" t="s">
        <v>56</v>
      </c>
      <c r="J26" s="15">
        <f>J9</f>
        <v>31926.445216385047</v>
      </c>
      <c r="L26" t="s">
        <v>56</v>
      </c>
      <c r="M26" s="15">
        <f>M9</f>
        <v>86685.49070017326</v>
      </c>
    </row>
    <row r="27" spans="2:13" ht="12">
      <c r="B27" s="2"/>
      <c r="C27" s="2"/>
      <c r="D27" s="2"/>
      <c r="E27" s="2"/>
      <c r="F27" s="6" t="s">
        <v>49</v>
      </c>
      <c r="G27">
        <f>G16*G25</f>
        <v>0.08128</v>
      </c>
      <c r="I27" t="s">
        <v>82</v>
      </c>
      <c r="J27">
        <f>(2.457*LN(1/((7/J26)^0.9+0.27*J25)))^16</f>
        <v>2.645124916661752E+19</v>
      </c>
      <c r="L27" t="s">
        <v>82</v>
      </c>
      <c r="M27">
        <f>(2.457*LN(1/((7/M26)^0.9+0.27*M25)))^16</f>
        <v>6.5010071643781865E+19</v>
      </c>
    </row>
    <row r="28" spans="2:13" ht="12">
      <c r="B28" s="2"/>
      <c r="C28" s="2"/>
      <c r="D28" s="2"/>
      <c r="E28" s="2"/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13.293764494136365</v>
      </c>
      <c r="L28" t="s">
        <v>83</v>
      </c>
      <c r="M28">
        <f>(37530/M26)^16</f>
        <v>1.523752529595783E-06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0.004129024000000001</v>
      </c>
      <c r="I29" t="s">
        <v>42</v>
      </c>
      <c r="J29" s="17">
        <f>2*((8/J26)^12+1/(J27+J28)^(3/2))^(1/12)</f>
        <v>0.007468342427176788</v>
      </c>
      <c r="K29" s="16"/>
      <c r="L29" t="s">
        <v>42</v>
      </c>
      <c r="M29" s="17">
        <f>2*((8/M26)^12+1/(M27+M28)^(3/2))^(1/12)</f>
        <v>0.006674325994112258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G9*2*J29*L19/G13*D12*J8^2+(G9-1)*D12*J8^2*2</f>
        <v>168052.13590237137</v>
      </c>
      <c r="L30" t="s">
        <v>84</v>
      </c>
      <c r="M30" s="14">
        <f>M29*M8^2*(L20+1)*G25/(B12*G28)</f>
        <v>22791.108315752816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J30/L19</f>
        <v>34072.307040650514</v>
      </c>
      <c r="L31" t="s">
        <v>85</v>
      </c>
      <c r="M31" s="15">
        <f>M30/L19</f>
        <v>4620.861473502375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N31"/>
  <sheetViews>
    <sheetView zoomScale="125" zoomScaleNormal="125" workbookViewId="0" topLeftCell="A1">
      <selection activeCell="A20" sqref="A20"/>
    </sheetView>
  </sheetViews>
  <sheetFormatPr defaultColWidth="11.421875" defaultRowHeight="12.75"/>
  <cols>
    <col min="3" max="3" width="2.421875" style="0" customWidth="1"/>
    <col min="5" max="5" width="3.140625" style="0" customWidth="1"/>
    <col min="6" max="6" width="15.8515625" style="0" customWidth="1"/>
    <col min="8" max="8" width="5.2812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87</v>
      </c>
      <c r="I8" s="6" t="s">
        <v>41</v>
      </c>
      <c r="J8" s="13">
        <f>D8*(G9/G26)/(D12*3.1416/4*G13^2)</f>
        <v>9.37641663232035</v>
      </c>
      <c r="L8" t="s">
        <v>62</v>
      </c>
      <c r="M8" s="14">
        <f>B8/G29</f>
        <v>2231.908029262337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4</v>
      </c>
      <c r="I9" s="6" t="s">
        <v>56</v>
      </c>
      <c r="J9" s="15">
        <f>D12*J8*G13/D14</f>
        <v>79816.1130409626</v>
      </c>
      <c r="L9" t="s">
        <v>56</v>
      </c>
      <c r="M9" s="15">
        <f>M8*G28/B14</f>
        <v>86685.49070017326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0.004720871295952182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762.3878450235312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12780.69539536527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282.87522600319244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10113.037968499493</v>
      </c>
    </row>
    <row r="15" spans="1:12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  <c r="I15" t="s">
        <v>67</v>
      </c>
      <c r="J15" s="17">
        <f>0.00009</f>
        <v>9E-05</v>
      </c>
      <c r="K15" t="s">
        <v>74</v>
      </c>
      <c r="L15" s="16">
        <f>J21*D18/J16</f>
        <v>4.619808621705441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68</v>
      </c>
      <c r="J16" s="15">
        <f>1/(1/M14+G14/J12+G12*LN(G14)/(2*G11))</f>
        <v>4401.8036199446815</v>
      </c>
      <c r="K16" t="s">
        <v>75</v>
      </c>
      <c r="L16" s="16">
        <f>J21*D18/J17</f>
        <v>6.45000275000816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69</v>
      </c>
      <c r="J17" s="15">
        <f>(1/J16+J15)^(-1)</f>
        <v>3152.7878518267194</v>
      </c>
      <c r="K17" t="s">
        <v>76</v>
      </c>
      <c r="L17" s="16">
        <f>J17/J16</f>
        <v>0.7162490933355953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71</v>
      </c>
      <c r="J18" s="13">
        <f>D18/B18</f>
        <v>0.8333333333333334</v>
      </c>
      <c r="K18" t="s">
        <v>77</v>
      </c>
      <c r="L18" s="15">
        <f>100*J16*J15</f>
        <v>39.61623257950213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s="12" t="s">
        <v>72</v>
      </c>
      <c r="J19" s="13">
        <f>(D9-D10)/(D9-B9)</f>
        <v>0.5714285714285714</v>
      </c>
      <c r="K19" t="s">
        <v>78</v>
      </c>
      <c r="L19" s="14">
        <f>L16/(3.1416*G12*G26)</f>
        <v>4.490583640007455</v>
      </c>
    </row>
    <row r="20" spans="1:12" ht="12">
      <c r="A20" s="51" t="s">
        <v>7</v>
      </c>
      <c r="B20" s="2"/>
      <c r="C20" s="2"/>
      <c r="D20" s="2"/>
      <c r="E20" s="2"/>
      <c r="F20" s="6" t="s">
        <v>42</v>
      </c>
      <c r="G20" s="9">
        <v>0.0065</v>
      </c>
      <c r="I20" t="s">
        <v>88</v>
      </c>
      <c r="J20" s="16">
        <f>(2/J19-1+J18)/SQRT(1+J18^2)</f>
        <v>2.5607375986579193</v>
      </c>
      <c r="K20" t="s">
        <v>86</v>
      </c>
      <c r="L20" s="16">
        <f>L19/G27-1</f>
        <v>54.2483223426114</v>
      </c>
    </row>
    <row r="21" spans="1:12" ht="12">
      <c r="A21" s="51" t="s">
        <v>5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-1/SQRT(J18^2+1)*LN((J20-1)/(J20+1))</f>
        <v>0.6336359674223512</v>
      </c>
      <c r="L21" s="15"/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209.7079917513905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0.2032</v>
      </c>
      <c r="H25">
        <v>8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24</v>
      </c>
      <c r="I26" t="s">
        <v>56</v>
      </c>
      <c r="J26" s="15">
        <f>J9</f>
        <v>79816.1130409626</v>
      </c>
      <c r="L26" t="s">
        <v>56</v>
      </c>
      <c r="M26" s="15">
        <f>M9</f>
        <v>86685.49070017326</v>
      </c>
    </row>
    <row r="27" spans="2:13" ht="12">
      <c r="B27" s="2"/>
      <c r="C27" s="2"/>
      <c r="D27" s="2"/>
      <c r="E27" s="2"/>
      <c r="F27" s="6" t="s">
        <v>49</v>
      </c>
      <c r="G27">
        <f>G16*G25</f>
        <v>0.08128</v>
      </c>
      <c r="I27" t="s">
        <v>82</v>
      </c>
      <c r="J27">
        <f>(2.457*LN(1/((7/J26)^0.9+0.27*J25)))^16</f>
        <v>4.799365410804939E+19</v>
      </c>
      <c r="L27" t="s">
        <v>82</v>
      </c>
      <c r="M27">
        <f>(2.457*LN(1/((7/M26)^0.9+0.27*M25)))^16</f>
        <v>6.5010071643781865E+19</v>
      </c>
    </row>
    <row r="28" spans="2:13" ht="12">
      <c r="B28" s="2"/>
      <c r="C28" s="2"/>
      <c r="D28" s="2"/>
      <c r="E28" s="2"/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5.709628374304188E-06</v>
      </c>
      <c r="L28" t="s">
        <v>83</v>
      </c>
      <c r="M28">
        <f>(37530/M26)^16</f>
        <v>1.523752529595783E-06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0.004129024000000001</v>
      </c>
      <c r="I29" t="s">
        <v>42</v>
      </c>
      <c r="J29" s="17">
        <f>2*((8/J26)^12+1/(J27+J28)^(3/2))^(1/12)</f>
        <v>0.0069323745387398035</v>
      </c>
      <c r="K29" s="16"/>
      <c r="L29" t="s">
        <v>42</v>
      </c>
      <c r="M29" s="17">
        <f>2*((8/M26)^12+1/(M27+M28)^(3/2))^(1/12)</f>
        <v>0.006674325994112258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G9*2*J29*L19/G13*D12*J8^2+(G9-1)*D12*J8^2*2</f>
        <v>2017578.2667618445</v>
      </c>
      <c r="L30" t="s">
        <v>84</v>
      </c>
      <c r="M30" s="14">
        <f>M29*M8^2*(L20+1)*G25/(B12*G28)</f>
        <v>20750.364935650505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J30/L19</f>
        <v>449290.8780914044</v>
      </c>
      <c r="L31" t="s">
        <v>85</v>
      </c>
      <c r="M31" s="15">
        <f>M30/L19</f>
        <v>4620.861473502375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125" zoomScaleNormal="125" workbookViewId="0" topLeftCell="A1">
      <selection activeCell="A20" sqref="A20:A21"/>
    </sheetView>
  </sheetViews>
  <sheetFormatPr defaultColWidth="11.421875" defaultRowHeight="12.75"/>
  <cols>
    <col min="2" max="2" width="9.8515625" style="2" customWidth="1"/>
    <col min="3" max="3" width="2.8515625" style="2" customWidth="1"/>
    <col min="4" max="4" width="10.00390625" style="2" customWidth="1"/>
    <col min="5" max="5" width="4.00390625" style="2" customWidth="1"/>
    <col min="6" max="6" width="16.140625" style="6" customWidth="1"/>
    <col min="7" max="7" width="11.28125" style="0" customWidth="1"/>
    <col min="8" max="8" width="4.140625" style="0" customWidth="1"/>
    <col min="9" max="9" width="12.140625" style="0" customWidth="1"/>
    <col min="10" max="10" width="9.421875" style="0" customWidth="1"/>
    <col min="11" max="11" width="8.7109375" style="0" customWidth="1"/>
    <col min="12" max="12" width="12.140625" style="0" customWidth="1"/>
    <col min="13" max="13" width="9.8515625" style="0" customWidth="1"/>
  </cols>
  <sheetData>
    <row r="1" ht="12">
      <c r="A1" t="s">
        <v>0</v>
      </c>
    </row>
    <row r="2" ht="12">
      <c r="A2" t="s">
        <v>90</v>
      </c>
    </row>
    <row r="3" ht="12">
      <c r="A3" t="s">
        <v>99</v>
      </c>
    </row>
    <row r="4" ht="12">
      <c r="A4" t="s">
        <v>91</v>
      </c>
    </row>
    <row r="5" spans="2:9" ht="12">
      <c r="B5" s="2" t="s">
        <v>10</v>
      </c>
      <c r="D5" s="2" t="s">
        <v>22</v>
      </c>
      <c r="F5" s="6" t="s">
        <v>31</v>
      </c>
      <c r="G5" s="6">
        <f>D8*D13*(D9-D10)</f>
        <v>1925600.0000000002</v>
      </c>
      <c r="I5" t="s">
        <v>53</v>
      </c>
    </row>
    <row r="6" spans="2:4" ht="12">
      <c r="B6" s="2" t="s">
        <v>11</v>
      </c>
      <c r="D6" s="2" t="s">
        <v>23</v>
      </c>
    </row>
    <row r="7" spans="1:12" ht="12">
      <c r="A7" t="s">
        <v>12</v>
      </c>
      <c r="B7" s="2" t="s">
        <v>30</v>
      </c>
      <c r="D7" s="2" t="s">
        <v>29</v>
      </c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D8" s="4">
        <f>41500/3600</f>
        <v>11.527777777777779</v>
      </c>
      <c r="F8" s="6" t="s">
        <v>38</v>
      </c>
      <c r="I8" s="6" t="s">
        <v>41</v>
      </c>
      <c r="J8" s="13">
        <f>D8*(G9/G26)/(D12*3.1416/4*G13^2)</f>
        <v>0.9222704884249525</v>
      </c>
      <c r="L8" t="s">
        <v>62</v>
      </c>
      <c r="M8" s="14">
        <f>B8/G29</f>
        <v>1428.4211387278958</v>
      </c>
    </row>
    <row r="9" spans="1:13" ht="12">
      <c r="A9" t="s">
        <v>19</v>
      </c>
      <c r="B9" s="2">
        <v>35</v>
      </c>
      <c r="D9" s="2">
        <v>140</v>
      </c>
      <c r="F9" s="6" t="s">
        <v>55</v>
      </c>
      <c r="G9">
        <v>1</v>
      </c>
      <c r="I9" s="6" t="s">
        <v>56</v>
      </c>
      <c r="J9" s="15">
        <f>D12*J8*G13/D14</f>
        <v>7850.765217143864</v>
      </c>
      <c r="L9" t="s">
        <v>56</v>
      </c>
      <c r="M9" s="15">
        <f>M8*G28/B14</f>
        <v>55478.71404811089</v>
      </c>
    </row>
    <row r="10" spans="1:13" ht="12">
      <c r="A10" t="s">
        <v>20</v>
      </c>
      <c r="B10" s="2">
        <v>85</v>
      </c>
      <c r="D10" s="2">
        <v>80</v>
      </c>
      <c r="F10" s="6" t="s">
        <v>33</v>
      </c>
      <c r="I10" t="s">
        <v>42</v>
      </c>
      <c r="J10" s="7">
        <f>(1.58*LN(J9)-3.28)^(-2)</f>
        <v>0.008432235872665615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D11" s="2">
        <f>(D9+D10)/2</f>
        <v>110</v>
      </c>
      <c r="F11" s="6" t="s">
        <v>79</v>
      </c>
      <c r="G11">
        <v>54</v>
      </c>
      <c r="I11" t="s">
        <v>57</v>
      </c>
      <c r="J11" s="14">
        <f>(J10/2)*(J9-1000)*D16/(1+12.7*SQRT(J10/2)*(D16^(2/3)-1))</f>
        <v>93.25240406364705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D12" s="2">
        <v>1052</v>
      </c>
      <c r="F12" s="6" t="s">
        <v>34</v>
      </c>
      <c r="G12" s="9">
        <f>3/4*0.0254</f>
        <v>0.019049999999999997</v>
      </c>
      <c r="I12" t="s">
        <v>59</v>
      </c>
      <c r="J12" s="15">
        <f>J11*D15/G13</f>
        <v>1563.286428295836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D13" s="2">
        <v>2784</v>
      </c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221.30636233400688</v>
      </c>
      <c r="N13" t="s">
        <v>66</v>
      </c>
    </row>
    <row r="14" spans="1:13" ht="12">
      <c r="A14" t="s">
        <v>15</v>
      </c>
      <c r="B14" s="2">
        <v>0.000471</v>
      </c>
      <c r="D14" s="3">
        <f>0.00000185*D12</f>
        <v>0.0019462000000000001</v>
      </c>
      <c r="F14" s="6" t="s">
        <v>36</v>
      </c>
      <c r="G14" s="8">
        <v>1.21</v>
      </c>
      <c r="L14" t="s">
        <v>63</v>
      </c>
      <c r="M14" s="15">
        <f>M13*B15/G28</f>
        <v>7911.89697513157</v>
      </c>
    </row>
    <row r="15" spans="1:7" ht="12">
      <c r="A15" t="s">
        <v>16</v>
      </c>
      <c r="B15" s="2">
        <v>0.654</v>
      </c>
      <c r="D15" s="2">
        <v>0.264</v>
      </c>
      <c r="F15" s="6" t="s">
        <v>37</v>
      </c>
      <c r="G15" s="8">
        <f>0.0254*1</f>
        <v>0.0254</v>
      </c>
    </row>
    <row r="16" spans="1:12" ht="12">
      <c r="A16" t="s">
        <v>17</v>
      </c>
      <c r="B16" s="2">
        <v>3.01</v>
      </c>
      <c r="D16" s="5">
        <f>D14*D13/D15</f>
        <v>20.523563636363637</v>
      </c>
      <c r="F16" s="6" t="s">
        <v>50</v>
      </c>
      <c r="G16" s="8">
        <v>0.4</v>
      </c>
      <c r="I16" t="s">
        <v>67</v>
      </c>
      <c r="J16" s="17">
        <f>0.00009</f>
        <v>9E-05</v>
      </c>
      <c r="K16" t="s">
        <v>74</v>
      </c>
      <c r="L16" s="16">
        <f>J21*D18/J17</f>
        <v>36.091825661446194</v>
      </c>
    </row>
    <row r="17" spans="1:12" ht="12">
      <c r="A17" t="s">
        <v>21</v>
      </c>
      <c r="B17" s="2">
        <v>8.8E-05</v>
      </c>
      <c r="D17" s="2">
        <v>0.000352</v>
      </c>
      <c r="F17" s="6" t="s">
        <v>39</v>
      </c>
      <c r="G17" s="8" t="s">
        <v>40</v>
      </c>
      <c r="I17" t="s">
        <v>68</v>
      </c>
      <c r="J17" s="15">
        <f>1/(1/M14+G14/J12+G12*LN(G14)/(2*G11))</f>
        <v>1070.63437246592</v>
      </c>
      <c r="K17" t="s">
        <v>75</v>
      </c>
      <c r="L17" s="16">
        <f>J21*D18/J18</f>
        <v>39.56952908208345</v>
      </c>
    </row>
    <row r="18" spans="1:12" ht="12">
      <c r="A18" t="s">
        <v>70</v>
      </c>
      <c r="B18" s="2">
        <f>B8*B13</f>
        <v>38512</v>
      </c>
      <c r="D18" s="18">
        <f>D8*D13</f>
        <v>32093.333333333336</v>
      </c>
      <c r="F18" s="12" t="s">
        <v>45</v>
      </c>
      <c r="G18" s="8">
        <v>0.045</v>
      </c>
      <c r="I18" t="s">
        <v>69</v>
      </c>
      <c r="J18" s="15">
        <f>(1/J17+J16)^(-1)</f>
        <v>976.5380082748577</v>
      </c>
      <c r="K18" t="s">
        <v>76</v>
      </c>
      <c r="L18" s="13">
        <f>J18/J17</f>
        <v>0.912111579255263</v>
      </c>
    </row>
    <row r="19" spans="6:12" ht="12">
      <c r="F19" s="12" t="s">
        <v>46</v>
      </c>
      <c r="G19" s="9">
        <f>G18/(G13*1000)</f>
        <v>0.0028575057150114305</v>
      </c>
      <c r="I19" t="s">
        <v>71</v>
      </c>
      <c r="J19" s="13">
        <f>D18/B18</f>
        <v>0.8333333333333334</v>
      </c>
      <c r="K19" t="s">
        <v>77</v>
      </c>
      <c r="L19" s="14">
        <f>100*J17*J16</f>
        <v>9.635709352193281</v>
      </c>
    </row>
    <row r="20" spans="1:12" ht="12">
      <c r="A20" s="51" t="s">
        <v>4</v>
      </c>
      <c r="F20" s="6" t="s">
        <v>42</v>
      </c>
      <c r="G20" s="9">
        <v>0.0065</v>
      </c>
      <c r="I20" s="12" t="s">
        <v>72</v>
      </c>
      <c r="J20" s="13">
        <f>(D9-D10)/(D9-B9)</f>
        <v>0.5714285714285714</v>
      </c>
      <c r="K20" t="s">
        <v>78</v>
      </c>
      <c r="L20" s="16">
        <f>L17/(3.1416*G12*G26)</f>
        <v>10.838899225570048</v>
      </c>
    </row>
    <row r="21" spans="1:12" ht="12">
      <c r="A21" s="51" t="s">
        <v>8</v>
      </c>
      <c r="F21" s="6" t="s">
        <v>41</v>
      </c>
      <c r="G21" s="10">
        <f>SQRT(1000/(2*G20*D12/G13))</f>
        <v>1.07308261023484</v>
      </c>
      <c r="I21" t="s">
        <v>73</v>
      </c>
      <c r="J21" s="16">
        <f>1/(J19-1)*LN((J20-1)/(J20*J19-1))</f>
        <v>1.204024172772907</v>
      </c>
      <c r="K21" t="s">
        <v>86</v>
      </c>
      <c r="L21" s="15">
        <f>L20/G27-1</f>
        <v>105.68207899183116</v>
      </c>
    </row>
    <row r="22" spans="6:7" ht="12">
      <c r="F22" s="6" t="s">
        <v>43</v>
      </c>
      <c r="G22" s="10">
        <f>D12*G21*3.1416/4*G13^2</f>
        <v>0.21988246955211888</v>
      </c>
    </row>
    <row r="23" spans="6:9" ht="12">
      <c r="F23" s="6" t="s">
        <v>44</v>
      </c>
      <c r="G23" s="11">
        <f>D8/G22*G9</f>
        <v>52.426997937847624</v>
      </c>
      <c r="I23" t="s">
        <v>80</v>
      </c>
    </row>
    <row r="24" spans="6:12" ht="12">
      <c r="F24" s="6" t="s">
        <v>47</v>
      </c>
      <c r="G24" s="8"/>
      <c r="I24" t="s">
        <v>54</v>
      </c>
      <c r="L24" t="s">
        <v>60</v>
      </c>
    </row>
    <row r="25" spans="6:13" ht="12">
      <c r="F25" s="6" t="s">
        <v>48</v>
      </c>
      <c r="G25" s="8">
        <f>H25*0.0254</f>
        <v>0.254</v>
      </c>
      <c r="H25">
        <v>10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6:13" ht="12">
      <c r="F26" s="6" t="s">
        <v>44</v>
      </c>
      <c r="G26">
        <v>61</v>
      </c>
      <c r="I26" t="s">
        <v>56</v>
      </c>
      <c r="J26" s="15">
        <f>J9</f>
        <v>7850.765217143864</v>
      </c>
      <c r="L26" t="s">
        <v>56</v>
      </c>
      <c r="M26" s="15">
        <f>M9</f>
        <v>55478.71404811089</v>
      </c>
    </row>
    <row r="27" spans="6:13" ht="12">
      <c r="F27" s="6" t="s">
        <v>49</v>
      </c>
      <c r="G27">
        <f>G16*G25</f>
        <v>0.10160000000000001</v>
      </c>
      <c r="I27" t="s">
        <v>82</v>
      </c>
      <c r="J27">
        <f>(2.457*LN(1/((7/J26)^0.9+0.27*J25)))^16</f>
        <v>4.512472489103885E+18</v>
      </c>
      <c r="L27" t="s">
        <v>82</v>
      </c>
      <c r="M27">
        <f>(2.457*LN(1/((7/M26)^0.9+0.27*M25)))^16</f>
        <v>5.040767152676961E+19</v>
      </c>
    </row>
    <row r="28" spans="6:13" ht="12"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74381545182.9822</v>
      </c>
      <c r="L28" t="s">
        <v>83</v>
      </c>
      <c r="M28">
        <f>(37530/M26)^16</f>
        <v>0.0019232460797275813</v>
      </c>
    </row>
    <row r="29" spans="6:13" ht="12">
      <c r="F29" s="6" t="s">
        <v>52</v>
      </c>
      <c r="G29" s="7">
        <f>(G15-G12)/G15*G25*G27</f>
        <v>0.006451600000000002</v>
      </c>
      <c r="I29" t="s">
        <v>42</v>
      </c>
      <c r="J29" s="17">
        <f>2*((8/J26)^12+1/(J27+J28)^(3/2))^(1/12)</f>
        <v>0.0093159719946919</v>
      </c>
      <c r="K29" s="16"/>
      <c r="L29" t="s">
        <v>42</v>
      </c>
      <c r="M29" s="17">
        <f>2*((8/M26)^12+1/(M27+M28)^(3/2))^(1/12)</f>
        <v>0.006889979283448238</v>
      </c>
    </row>
    <row r="30" spans="9:13" ht="12">
      <c r="I30" t="s">
        <v>84</v>
      </c>
      <c r="J30" s="15">
        <f>G9*2*J29*L20/G13*D12*J8^2+(G9-1)*D12*J8^2*2</f>
        <v>11474.936899128026</v>
      </c>
      <c r="L30" t="s">
        <v>84</v>
      </c>
      <c r="M30" s="14">
        <f>M29*M8^2*(L21+1)*G25/(B12*G28)</f>
        <v>21177.689505517777</v>
      </c>
    </row>
    <row r="31" spans="9:13" ht="12">
      <c r="I31" t="s">
        <v>85</v>
      </c>
      <c r="J31" s="15">
        <f>J30/L20</f>
        <v>1058.681021044785</v>
      </c>
      <c r="L31" t="s">
        <v>85</v>
      </c>
      <c r="M31" s="15">
        <f>M30/L20</f>
        <v>1953.8598029915704</v>
      </c>
    </row>
  </sheetData>
  <printOptions/>
  <pageMargins left="0.75" right="0.75" top="1" bottom="1" header="0" footer="0"/>
  <pageSetup horizontalDpi="360" verticalDpi="360" orientation="landscape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5:N31"/>
  <sheetViews>
    <sheetView zoomScale="125" zoomScaleNormal="125" workbookViewId="0" topLeftCell="A2">
      <selection activeCell="A20" sqref="A20"/>
    </sheetView>
  </sheetViews>
  <sheetFormatPr defaultColWidth="11.421875" defaultRowHeight="12.75"/>
  <cols>
    <col min="3" max="3" width="5.28125" style="0" customWidth="1"/>
    <col min="4" max="4" width="13.00390625" style="0" customWidth="1"/>
    <col min="5" max="5" width="4.421875" style="0" customWidth="1"/>
    <col min="6" max="6" width="15.7109375" style="0" customWidth="1"/>
    <col min="8" max="8" width="5.8515625" style="0" customWidth="1"/>
    <col min="9" max="9" width="13.421875" style="0" customWidth="1"/>
    <col min="12" max="12" width="12.851562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87</v>
      </c>
      <c r="I8" s="6" t="s">
        <v>41</v>
      </c>
      <c r="J8" s="13">
        <f>D8*(G9/G26)/(D12*3.1416/4*G13^2)</f>
        <v>2.1637884536123884</v>
      </c>
      <c r="L8" t="s">
        <v>62</v>
      </c>
      <c r="M8" s="14">
        <f>B8/G29</f>
        <v>1428.4211387278958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2</v>
      </c>
      <c r="I9" s="6" t="s">
        <v>56</v>
      </c>
      <c r="J9" s="15">
        <f>D12*J8*G13/D14</f>
        <v>18419.103009452912</v>
      </c>
      <c r="L9" t="s">
        <v>56</v>
      </c>
      <c r="M9" s="15">
        <f>M8*G28/B14</f>
        <v>55478.71404811089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0.006677612261041525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206.97329394634906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3469.7072391310744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221.30636233400688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7911.89697513157</v>
      </c>
    </row>
    <row r="15" spans="1:12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  <c r="I15" t="s">
        <v>67</v>
      </c>
      <c r="J15" s="17">
        <f>0.00009</f>
        <v>9E-05</v>
      </c>
      <c r="K15" t="s">
        <v>74</v>
      </c>
      <c r="L15" s="16">
        <f>J21*D18/J16</f>
        <v>10.345636869266736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68</v>
      </c>
      <c r="J16" s="15">
        <f>1/(1/M14+G14/J12+G12*LN(G14)/(2*G11))</f>
        <v>1965.6102926717138</v>
      </c>
      <c r="K16" t="s">
        <v>75</v>
      </c>
      <c r="L16" s="16">
        <f>J21*D18/J17</f>
        <v>12.175830997569456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69</v>
      </c>
      <c r="J17" s="15">
        <f>(1/J16+J15)^(-1)</f>
        <v>1670.1521496589464</v>
      </c>
      <c r="K17" t="s">
        <v>76</v>
      </c>
      <c r="L17" s="16">
        <f>J17/J16</f>
        <v>0.8496863065306948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71</v>
      </c>
      <c r="J18" s="13">
        <f>D18/B18</f>
        <v>0.8333333333333334</v>
      </c>
      <c r="K18" t="s">
        <v>77</v>
      </c>
      <c r="L18" s="15">
        <f>100*J16*J15</f>
        <v>17.690492634045423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s="12" t="s">
        <v>72</v>
      </c>
      <c r="J19" s="13">
        <f>(D9-D10)/(D9-B9)</f>
        <v>0.5714285714285714</v>
      </c>
      <c r="K19" t="s">
        <v>78</v>
      </c>
      <c r="L19" s="14">
        <f>L16/(3.1416*G12*G26)</f>
        <v>3.9124553967369207</v>
      </c>
    </row>
    <row r="20" spans="1:12" ht="12">
      <c r="A20" s="51" t="s">
        <v>6</v>
      </c>
      <c r="B20" s="2"/>
      <c r="C20" s="2"/>
      <c r="D20" s="2"/>
      <c r="E20" s="2"/>
      <c r="F20" s="6" t="s">
        <v>42</v>
      </c>
      <c r="G20" s="9">
        <v>0.0065</v>
      </c>
      <c r="I20" t="s">
        <v>88</v>
      </c>
      <c r="J20" s="16">
        <f>(2/J19-1+J18)/SQRT(1+J18^2)</f>
        <v>2.5607375986579193</v>
      </c>
      <c r="K20" t="s">
        <v>86</v>
      </c>
      <c r="L20" s="16">
        <f>L19/G27-1</f>
        <v>37.508419259221654</v>
      </c>
    </row>
    <row r="21" spans="1:12" ht="12">
      <c r="A21" s="51" t="s">
        <v>8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-1/SQRT(J18^2+1)*LN((J20-1)/(J20+1))</f>
        <v>0.6336359674223512</v>
      </c>
      <c r="L21" s="15"/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104.85399587569525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0.254</v>
      </c>
      <c r="H25">
        <v>10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52</v>
      </c>
      <c r="I26" t="s">
        <v>56</v>
      </c>
      <c r="J26" s="15">
        <f>J9</f>
        <v>18419.103009452912</v>
      </c>
      <c r="L26" t="s">
        <v>56</v>
      </c>
      <c r="M26" s="15">
        <f>M9</f>
        <v>55478.71404811089</v>
      </c>
    </row>
    <row r="27" spans="2:13" ht="12">
      <c r="B27" s="2"/>
      <c r="C27" s="2"/>
      <c r="D27" s="2"/>
      <c r="E27" s="2"/>
      <c r="F27" s="6" t="s">
        <v>49</v>
      </c>
      <c r="G27">
        <f>G16*G25</f>
        <v>0.10160000000000001</v>
      </c>
      <c r="I27" t="s">
        <v>82</v>
      </c>
      <c r="J27">
        <f>(2.457*LN(1/((7/J26)^0.9+0.27*J25)))^16</f>
        <v>1.5192446703981373E+19</v>
      </c>
      <c r="L27" t="s">
        <v>82</v>
      </c>
      <c r="M27">
        <f>(2.457*LN(1/((7/M26)^0.9+0.27*M25)))^16</f>
        <v>5.040767152676961E+19</v>
      </c>
    </row>
    <row r="28" spans="2:13" ht="12">
      <c r="B28" s="2"/>
      <c r="C28" s="2"/>
      <c r="D28" s="2"/>
      <c r="E28" s="2"/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88259.4879299993</v>
      </c>
      <c r="L28" t="s">
        <v>83</v>
      </c>
      <c r="M28">
        <f>(37530/M26)^16</f>
        <v>0.0019232460797275813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0.006451600000000002</v>
      </c>
      <c r="I29" t="s">
        <v>42</v>
      </c>
      <c r="J29" s="17">
        <f>2*((8/J26)^12+1/(J27+J28)^(3/2))^(1/12)</f>
        <v>0.008004358478873746</v>
      </c>
      <c r="K29" s="16"/>
      <c r="L29" t="s">
        <v>42</v>
      </c>
      <c r="M29" s="17">
        <f>2*((8/M26)^12+1/(M27+M28)^(3/2))^(1/12)</f>
        <v>0.006889979283448238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G9*2*J29*L19/G13*D12*J8^2+(G9-1)*D12*J8^2*2</f>
        <v>49030.1129910228</v>
      </c>
      <c r="L30" t="s">
        <v>84</v>
      </c>
      <c r="M30" s="14">
        <f>M29*M8^2*(L20+1)*G25/(B12*G28)</f>
        <v>7644.389330681706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J30/L19</f>
        <v>12531.801137443013</v>
      </c>
      <c r="L31" t="s">
        <v>85</v>
      </c>
      <c r="M31" s="15">
        <f>M30/L19</f>
        <v>1953.8598029915704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N31"/>
  <sheetViews>
    <sheetView zoomScale="125" zoomScaleNormal="125" workbookViewId="0" topLeftCell="A4">
      <selection activeCell="A20" sqref="A20"/>
    </sheetView>
  </sheetViews>
  <sheetFormatPr defaultColWidth="11.421875" defaultRowHeight="12.75"/>
  <cols>
    <col min="3" max="3" width="4.00390625" style="0" customWidth="1"/>
    <col min="5" max="5" width="3.421875" style="0" customWidth="1"/>
    <col min="6" max="6" width="15.42187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87</v>
      </c>
      <c r="I8" s="6" t="s">
        <v>41</v>
      </c>
      <c r="J8" s="13">
        <f>D8*(G9/G26)/(D12*3.1416/4*G13^2)</f>
        <v>5.6258499793922105</v>
      </c>
      <c r="L8" t="s">
        <v>62</v>
      </c>
      <c r="M8" s="14">
        <f>B8/G29</f>
        <v>1428.4211387278958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4</v>
      </c>
      <c r="I9" s="6" t="s">
        <v>56</v>
      </c>
      <c r="J9" s="15">
        <f>D12*J8*G13/D14</f>
        <v>47889.66782457758</v>
      </c>
      <c r="L9" t="s">
        <v>56</v>
      </c>
      <c r="M9" s="15">
        <f>M8*G28/B14</f>
        <v>55478.71404811089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0.0052914764688729915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485.5692009076918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8140.098364213275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221.30636233400688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7911.89697513157</v>
      </c>
    </row>
    <row r="15" spans="1:12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  <c r="I15" t="s">
        <v>67</v>
      </c>
      <c r="J15" s="17">
        <f>0.00009</f>
        <v>9E-05</v>
      </c>
      <c r="K15" t="s">
        <v>74</v>
      </c>
      <c r="L15" s="16">
        <f>J21*D18/J16</f>
        <v>6.276795243441339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68</v>
      </c>
      <c r="J16" s="15">
        <f>1/(1/M14+G14/J12+G12*LN(G14)/(2*G11))</f>
        <v>3239.788702000967</v>
      </c>
      <c r="K16" t="s">
        <v>75</v>
      </c>
      <c r="L16" s="16">
        <f>J21*D18/J17</f>
        <v>8.106989371744058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69</v>
      </c>
      <c r="J17" s="15">
        <f>(1/J16+J15)^(-1)</f>
        <v>2508.38990678236</v>
      </c>
      <c r="K17" t="s">
        <v>76</v>
      </c>
      <c r="L17" s="16">
        <f>J17/J16</f>
        <v>0.7742449083895877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71</v>
      </c>
      <c r="J18" s="13">
        <f>D18/B18</f>
        <v>0.8333333333333334</v>
      </c>
      <c r="K18" t="s">
        <v>77</v>
      </c>
      <c r="L18" s="15">
        <f>100*J16*J15</f>
        <v>29.158098318008705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s="12" t="s">
        <v>72</v>
      </c>
      <c r="J19" s="13">
        <f>(D9-D10)/(D9-B9)</f>
        <v>0.5714285714285714</v>
      </c>
      <c r="K19" t="s">
        <v>78</v>
      </c>
      <c r="L19" s="14">
        <f>L16/(3.1416*G12*G26)</f>
        <v>3.3865207740342864</v>
      </c>
    </row>
    <row r="20" spans="1:12" ht="12">
      <c r="A20" s="51" t="s">
        <v>4</v>
      </c>
      <c r="B20" s="2"/>
      <c r="C20" s="2"/>
      <c r="D20" s="2"/>
      <c r="E20" s="2"/>
      <c r="F20" s="6" t="s">
        <v>42</v>
      </c>
      <c r="G20" s="9">
        <v>0.0065</v>
      </c>
      <c r="I20" t="s">
        <v>88</v>
      </c>
      <c r="J20" s="16">
        <f>(2/J19-1+J18)/SQRT(1+J18^2)</f>
        <v>2.5607375986579193</v>
      </c>
      <c r="K20" t="s">
        <v>86</v>
      </c>
      <c r="L20" s="16">
        <f>L19/G27-1</f>
        <v>32.331897382227226</v>
      </c>
    </row>
    <row r="21" spans="1:12" ht="12">
      <c r="A21" s="51" t="s">
        <v>8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-1/SQRT(J18^2+1)*LN((J20-1)/(J20+1))</f>
        <v>0.6336359674223512</v>
      </c>
      <c r="L21" s="15"/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209.7079917513905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0.254</v>
      </c>
      <c r="H25">
        <v>10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40</v>
      </c>
      <c r="I26" t="s">
        <v>56</v>
      </c>
      <c r="J26" s="15">
        <f>J9</f>
        <v>47889.66782457758</v>
      </c>
      <c r="L26" t="s">
        <v>56</v>
      </c>
      <c r="M26" s="15">
        <f>M9</f>
        <v>55478.71404811089</v>
      </c>
    </row>
    <row r="27" spans="2:13" ht="12">
      <c r="B27" s="2"/>
      <c r="C27" s="2"/>
      <c r="D27" s="2"/>
      <c r="E27" s="2"/>
      <c r="F27" s="6" t="s">
        <v>49</v>
      </c>
      <c r="G27">
        <f>G16*G25</f>
        <v>0.10160000000000001</v>
      </c>
      <c r="I27" t="s">
        <v>82</v>
      </c>
      <c r="J27">
        <f>(2.457*LN(1/((7/J26)^0.9+0.27*J25)))^16</f>
        <v>3.6004789751714144E+19</v>
      </c>
      <c r="L27" t="s">
        <v>82</v>
      </c>
      <c r="M27">
        <f>(2.457*LN(1/((7/M26)^0.9+0.27*M25)))^16</f>
        <v>5.040767152676961E+19</v>
      </c>
    </row>
    <row r="28" spans="2:13" ht="12">
      <c r="B28" s="2"/>
      <c r="C28" s="2"/>
      <c r="D28" s="2"/>
      <c r="E28" s="2"/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0.020238943400305007</v>
      </c>
      <c r="L28" t="s">
        <v>83</v>
      </c>
      <c r="M28">
        <f>(37530/M26)^16</f>
        <v>0.0019232460797275813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0.006451600000000002</v>
      </c>
      <c r="I29" t="s">
        <v>42</v>
      </c>
      <c r="J29" s="17">
        <f>2*((8/J26)^12+1/(J27+J28)^(3/2))^(1/12)</f>
        <v>0.0071859627358797015</v>
      </c>
      <c r="K29" s="16"/>
      <c r="L29" t="s">
        <v>42</v>
      </c>
      <c r="M29" s="17">
        <f>2*((8/M26)^12+1/(M27+M28)^(3/2))^(1/12)</f>
        <v>0.006889979283448238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G9*2*J29*L19/G13*D12*J8^2+(G9-1)*D12*J8^2*2</f>
        <v>611394.8976814026</v>
      </c>
      <c r="L30" t="s">
        <v>84</v>
      </c>
      <c r="M30" s="14">
        <f>M29*M8^2*(L20+1)*G25/(B12*G28)</f>
        <v>6616.7868123814915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J30/L19</f>
        <v>180537.76677503192</v>
      </c>
      <c r="L31" t="s">
        <v>85</v>
      </c>
      <c r="M31" s="15">
        <f>M30/L19</f>
        <v>1953.8598029915704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N32"/>
  <sheetViews>
    <sheetView zoomScale="125" zoomScaleNormal="125" workbookViewId="0" topLeftCell="A1">
      <selection activeCell="A20" sqref="A20:A21"/>
    </sheetView>
  </sheetViews>
  <sheetFormatPr defaultColWidth="11.421875" defaultRowHeight="12.75"/>
  <cols>
    <col min="2" max="2" width="8.7109375" style="0" customWidth="1"/>
    <col min="3" max="3" width="3.8515625" style="0" customWidth="1"/>
    <col min="5" max="5" width="3.421875" style="0" customWidth="1"/>
    <col min="8" max="8" width="6.8515625" style="0" customWidth="1"/>
    <col min="11" max="11" width="8.8515625" style="0" customWidth="1"/>
    <col min="13" max="13" width="9.0039062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38</v>
      </c>
      <c r="I8" s="6" t="s">
        <v>41</v>
      </c>
      <c r="J8" s="13">
        <f>D8*(G9/G26)/(D12*3.1416/4*G13^2)</f>
        <v>0.6115054325426315</v>
      </c>
      <c r="L8" t="s">
        <v>62</v>
      </c>
      <c r="M8" s="14">
        <f>B8/G29</f>
        <v>991.9591241165946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1</v>
      </c>
      <c r="I9" s="6" t="s">
        <v>56</v>
      </c>
      <c r="J9" s="15">
        <f>D12*J8*G13/D14</f>
        <v>5205.398676584518</v>
      </c>
      <c r="L9" t="s">
        <v>56</v>
      </c>
      <c r="M9" s="15">
        <f>M8*G28/B14</f>
        <v>38526.88475563257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0.009535302598449065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61.449204416703054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1030.1365231146565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181.09002512296084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6474.127570875938</v>
      </c>
    </row>
    <row r="15" spans="1:7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67</v>
      </c>
      <c r="J16" s="17">
        <f>0.00009</f>
        <v>9E-05</v>
      </c>
      <c r="K16" t="s">
        <v>74</v>
      </c>
      <c r="L16" s="14">
        <f>J21*D18/J17</f>
        <v>52.65574796650147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68</v>
      </c>
      <c r="J17" s="15">
        <f>1/(1/M14+G14/J12+G12*LN(G14)/(2*G11))</f>
        <v>733.84484335451</v>
      </c>
      <c r="K17" t="s">
        <v>75</v>
      </c>
      <c r="L17" s="14">
        <f>J21*D18/J18</f>
        <v>56.13345138713874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69</v>
      </c>
      <c r="J18" s="15">
        <f>(1/J17+J16)^(-1)</f>
        <v>688.3800686277642</v>
      </c>
      <c r="K18" t="s">
        <v>76</v>
      </c>
      <c r="L18" s="13">
        <f>J18/J17</f>
        <v>0.9380457938235012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t="s">
        <v>71</v>
      </c>
      <c r="J19" s="13">
        <f>D18/B18</f>
        <v>0.8333333333333334</v>
      </c>
      <c r="K19" t="s">
        <v>77</v>
      </c>
      <c r="L19" s="14">
        <f>100*J17*J16</f>
        <v>6.60460359019059</v>
      </c>
    </row>
    <row r="20" spans="1:12" ht="12">
      <c r="A20" s="51" t="s">
        <v>4</v>
      </c>
      <c r="B20" s="2"/>
      <c r="C20" s="2"/>
      <c r="D20" s="2"/>
      <c r="E20" s="2"/>
      <c r="F20" s="6" t="s">
        <v>42</v>
      </c>
      <c r="G20" s="9">
        <v>0.0065</v>
      </c>
      <c r="I20" s="12" t="s">
        <v>72</v>
      </c>
      <c r="J20" s="13">
        <f>(D9-D10)/(D9-B9)</f>
        <v>0.5714285714285714</v>
      </c>
      <c r="K20" t="s">
        <v>78</v>
      </c>
      <c r="L20" s="16">
        <f>L17/(3.1416*G12*G26)</f>
        <v>10.195019251099112</v>
      </c>
    </row>
    <row r="21" spans="1:12" ht="12">
      <c r="A21" s="51" t="s">
        <v>9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1/(J19-1)*LN((J20-1)/(J20*J19-1))</f>
        <v>1.204024172772907</v>
      </c>
      <c r="K21" t="s">
        <v>86</v>
      </c>
      <c r="L21" s="15">
        <f>L20/G27-1</f>
        <v>82.62056472358196</v>
      </c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52.426997937847624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0.30479999999999996</v>
      </c>
      <c r="H25">
        <v>12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92</v>
      </c>
      <c r="I26" t="s">
        <v>56</v>
      </c>
      <c r="J26" s="15">
        <f>J9</f>
        <v>5205.398676584518</v>
      </c>
      <c r="L26" t="s">
        <v>56</v>
      </c>
      <c r="M26" s="15">
        <f>M9</f>
        <v>38526.88475563257</v>
      </c>
    </row>
    <row r="27" spans="2:13" ht="12">
      <c r="B27" s="2"/>
      <c r="C27" s="2"/>
      <c r="D27" s="2"/>
      <c r="E27" s="2"/>
      <c r="F27" s="6" t="s">
        <v>49</v>
      </c>
      <c r="G27">
        <f>G16*G25</f>
        <v>0.12191999999999999</v>
      </c>
      <c r="I27" t="s">
        <v>82</v>
      </c>
      <c r="J27">
        <f>(2.457*LN(1/((7/J26)^0.9+0.27*J25)))^16</f>
        <v>2.1352471935836792E+18</v>
      </c>
      <c r="L27" t="s">
        <v>82</v>
      </c>
      <c r="M27">
        <f>(2.457*LN(1/((7/M26)^0.9+0.27*M25)))^16</f>
        <v>3.8441731294728724E+19</v>
      </c>
    </row>
    <row r="28" spans="2:13" ht="12">
      <c r="B28" s="2"/>
      <c r="C28" s="2"/>
      <c r="D28" s="2"/>
      <c r="E28" s="2"/>
      <c r="F28" s="6" t="s">
        <v>51</v>
      </c>
      <c r="G28" s="13">
        <f>4/(3.1416*G12)*(SQRT(3)/2*G15^2-3.1416*G12^2/4)</f>
        <v>0.018293256525124767</v>
      </c>
      <c r="I28" t="s">
        <v>83</v>
      </c>
      <c r="J28">
        <f>(37530/J26)^16</f>
        <v>53308084001006.45</v>
      </c>
      <c r="L28" t="s">
        <v>83</v>
      </c>
      <c r="M28">
        <f>(37530/M26)^16</f>
        <v>0.6574076135072486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0.009290304</v>
      </c>
      <c r="I29" t="s">
        <v>42</v>
      </c>
      <c r="J29" s="17">
        <f>2*((8/J26)^12+1/(J27+J28)^(3/2))^(1/12)</f>
        <v>0.01022934061712386</v>
      </c>
      <c r="K29" s="16"/>
      <c r="L29" t="s">
        <v>42</v>
      </c>
      <c r="M29" s="17">
        <f>2*((8/M26)^12+1/(M27+M28)^(3/2))^(1/12)</f>
        <v>0.007127375310853842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G9*2*J29*L20/G13*D12*J8^2+(G9-1)*D12*J8^2*2</f>
        <v>5210.2271638619795</v>
      </c>
      <c r="L30" t="s">
        <v>84</v>
      </c>
      <c r="M30" s="14">
        <f>M29*M8^2*(L21+1)*G25/(B12*G28)</f>
        <v>9937.294860044898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J30/L20</f>
        <v>511.05613785871685</v>
      </c>
      <c r="L31" t="s">
        <v>85</v>
      </c>
      <c r="M31" s="15">
        <f>M30/L20</f>
        <v>974.7205586662891</v>
      </c>
    </row>
    <row r="32" spans="2:6" ht="12">
      <c r="B32" s="2"/>
      <c r="C32" s="2"/>
      <c r="D32" s="2"/>
      <c r="E32" s="2"/>
      <c r="F32" s="6"/>
    </row>
  </sheetData>
  <printOptions/>
  <pageMargins left="0.75" right="0.75" top="1" bottom="1" header="0" footer="0"/>
  <pageSetup horizontalDpi="360" verticalDpi="3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5:N31"/>
  <sheetViews>
    <sheetView zoomScale="125" zoomScaleNormal="125" workbookViewId="0" topLeftCell="A4">
      <selection activeCell="A20" sqref="A20"/>
    </sheetView>
  </sheetViews>
  <sheetFormatPr defaultColWidth="11.421875" defaultRowHeight="12.75"/>
  <cols>
    <col min="2" max="2" width="8.00390625" style="0" customWidth="1"/>
    <col min="3" max="3" width="2.8515625" style="0" customWidth="1"/>
    <col min="5" max="5" width="5.140625" style="0" customWidth="1"/>
    <col min="8" max="8" width="6.7109375" style="0" customWidth="1"/>
    <col min="10" max="10" width="9.421875" style="0" customWidth="1"/>
    <col min="11" max="11" width="7.7109375" style="0" customWidth="1"/>
    <col min="13" max="13" width="7.2812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87</v>
      </c>
      <c r="I8" s="6" t="s">
        <v>41</v>
      </c>
      <c r="J8" s="13">
        <f>D8*(G9/G26)/(D12*3.1416/4*G13^2)</f>
        <v>1.3721585315590756</v>
      </c>
      <c r="L8" t="s">
        <v>62</v>
      </c>
      <c r="M8" s="14">
        <f>B8/G29</f>
        <v>991.9591241165946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2</v>
      </c>
      <c r="I9" s="6" t="s">
        <v>56</v>
      </c>
      <c r="J9" s="15">
        <f>D12*J8*G13/D14</f>
        <v>11680.406786482334</v>
      </c>
      <c r="L9" t="s">
        <v>56</v>
      </c>
      <c r="M9" s="15">
        <f>M8*G28/B14</f>
        <v>38526.88475563257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0.007538141483914293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136.2225939056543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2283.6401315146522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181.09002512296084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6474.127570875938</v>
      </c>
    </row>
    <row r="15" spans="1:12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  <c r="I15" t="s">
        <v>67</v>
      </c>
      <c r="J15" s="17">
        <f>0.00009</f>
        <v>9E-05</v>
      </c>
      <c r="K15" t="s">
        <v>74</v>
      </c>
      <c r="L15" s="16">
        <f>J21*D18/J16</f>
        <v>14.599663813893207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68</v>
      </c>
      <c r="J16" s="15">
        <f>1/(1/M14+G14/J12+G12*LN(G14)/(2*G11))</f>
        <v>1392.8738752958939</v>
      </c>
      <c r="K16" t="s">
        <v>75</v>
      </c>
      <c r="L16" s="16">
        <f>J21*D18/J17</f>
        <v>16.429857942195927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69</v>
      </c>
      <c r="J17" s="15">
        <f>(1/J16+J15)^(-1)</f>
        <v>1237.7155290094206</v>
      </c>
      <c r="K17" t="s">
        <v>76</v>
      </c>
      <c r="L17" s="16">
        <f>J17/J16</f>
        <v>0.8886056023891522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71</v>
      </c>
      <c r="J18" s="13">
        <f>D18/B18</f>
        <v>0.8333333333333334</v>
      </c>
      <c r="K18" t="s">
        <v>77</v>
      </c>
      <c r="L18" s="15">
        <f>100*J16*J15</f>
        <v>12.535864877663045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s="12" t="s">
        <v>72</v>
      </c>
      <c r="J19" s="13">
        <f>(D9-D10)/(D9-B9)</f>
        <v>0.5714285714285714</v>
      </c>
      <c r="K19" t="s">
        <v>78</v>
      </c>
      <c r="L19" s="14">
        <f>L16/(3.1416*G12*G26)</f>
        <v>3.347912414128244</v>
      </c>
    </row>
    <row r="20" spans="1:12" ht="12">
      <c r="A20" s="51" t="s">
        <v>6</v>
      </c>
      <c r="B20" s="2"/>
      <c r="C20" s="2"/>
      <c r="D20" s="2"/>
      <c r="E20" s="2"/>
      <c r="F20" s="6" t="s">
        <v>42</v>
      </c>
      <c r="G20" s="9">
        <v>0.0065</v>
      </c>
      <c r="I20" t="s">
        <v>88</v>
      </c>
      <c r="J20" s="16">
        <f>(2/J19-1+J18)/SQRT(1+J18^2)</f>
        <v>2.5607375986579193</v>
      </c>
      <c r="K20" t="s">
        <v>86</v>
      </c>
      <c r="L20" s="16">
        <f>L19/G27-1</f>
        <v>26.459911533204107</v>
      </c>
    </row>
    <row r="21" spans="1:12" ht="12">
      <c r="A21" s="51" t="s">
        <v>9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-1/SQRT(J18^2+1)*LN((J20-1)/(J20+1))</f>
        <v>0.6336359674223512</v>
      </c>
      <c r="L21" s="15"/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104.85399587569525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0.30479999999999996</v>
      </c>
      <c r="H25">
        <v>12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82</v>
      </c>
      <c r="I26" t="s">
        <v>56</v>
      </c>
      <c r="J26" s="15">
        <f>J9</f>
        <v>11680.406786482334</v>
      </c>
      <c r="L26" t="s">
        <v>56</v>
      </c>
      <c r="M26" s="15">
        <f>M9</f>
        <v>38526.88475563257</v>
      </c>
    </row>
    <row r="27" spans="2:13" ht="12">
      <c r="B27" s="2"/>
      <c r="C27" s="2"/>
      <c r="D27" s="2"/>
      <c r="E27" s="2"/>
      <c r="F27" s="6" t="s">
        <v>49</v>
      </c>
      <c r="G27">
        <f>G16*G25</f>
        <v>0.12191999999999999</v>
      </c>
      <c r="I27" t="s">
        <v>82</v>
      </c>
      <c r="J27">
        <f>(2.457*LN(1/((7/J26)^0.9+0.27*J25)))^16</f>
        <v>8.402024312045055E+18</v>
      </c>
      <c r="L27" t="s">
        <v>82</v>
      </c>
      <c r="M27">
        <f>(2.457*LN(1/((7/M26)^0.9+0.27*M25)))^16</f>
        <v>3.8441731294728724E+19</v>
      </c>
    </row>
    <row r="28" spans="2:13" ht="12">
      <c r="B28" s="2"/>
      <c r="C28" s="2"/>
      <c r="D28" s="2"/>
      <c r="E28" s="2"/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129041541.79399613</v>
      </c>
      <c r="L28" t="s">
        <v>83</v>
      </c>
      <c r="M28">
        <f>(37530/M26)^16</f>
        <v>0.6574076135072486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0.009290304</v>
      </c>
      <c r="I29" t="s">
        <v>42</v>
      </c>
      <c r="J29" s="17">
        <f>2*((8/J26)^12+1/(J27+J28)^(3/2))^(1/12)</f>
        <v>0.008619498609495043</v>
      </c>
      <c r="K29" s="16"/>
      <c r="L29" t="s">
        <v>42</v>
      </c>
      <c r="M29" s="17">
        <f>2*((8/M26)^12+1/(M27+M28)^(3/2))^(1/12)</f>
        <v>0.007127375310853842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G9*2*J29*L19/G13*D12*J8^2+(G9-1)*D12*J8^2*2</f>
        <v>18479.725542022243</v>
      </c>
      <c r="L30" t="s">
        <v>84</v>
      </c>
      <c r="M30" s="14">
        <f>M29*M8^2*(L20+1)*G25/(B12*G28)</f>
        <v>3263.279058664887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J30/L19</f>
        <v>5519.775685898324</v>
      </c>
      <c r="L31" t="s">
        <v>85</v>
      </c>
      <c r="M31" s="15">
        <f>M30/L19</f>
        <v>974.7205586662892</v>
      </c>
    </row>
  </sheetData>
  <printOptions/>
  <pageMargins left="0.75" right="0.75" top="1" bottom="1" header="0" footer="0"/>
  <pageSetup horizontalDpi="360" verticalDpi="36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5:N31"/>
  <sheetViews>
    <sheetView tabSelected="1" zoomScale="125" zoomScaleNormal="125" workbookViewId="0" topLeftCell="A1">
      <selection activeCell="A20" sqref="A20"/>
    </sheetView>
  </sheetViews>
  <sheetFormatPr defaultColWidth="11.421875" defaultRowHeight="12.75"/>
  <cols>
    <col min="3" max="3" width="4.00390625" style="0" customWidth="1"/>
    <col min="5" max="5" width="4.00390625" style="0" customWidth="1"/>
    <col min="6" max="6" width="18.28125" style="0" customWidth="1"/>
    <col min="8" max="8" width="5.140625" style="0" customWidth="1"/>
  </cols>
  <sheetData>
    <row r="5" spans="2:9" ht="12">
      <c r="B5" s="2" t="s">
        <v>10</v>
      </c>
      <c r="C5" s="2"/>
      <c r="D5" s="2" t="s">
        <v>22</v>
      </c>
      <c r="E5" s="2"/>
      <c r="F5" s="6" t="s">
        <v>31</v>
      </c>
      <c r="G5" s="6">
        <f>D8*D13*(D9-D10)</f>
        <v>1925600.0000000002</v>
      </c>
      <c r="I5" t="s">
        <v>53</v>
      </c>
    </row>
    <row r="6" spans="2:6" ht="12">
      <c r="B6" s="2" t="s">
        <v>11</v>
      </c>
      <c r="C6" s="2"/>
      <c r="D6" s="2" t="s">
        <v>23</v>
      </c>
      <c r="E6" s="2"/>
      <c r="F6" s="6"/>
    </row>
    <row r="7" spans="1:12" ht="12">
      <c r="A7" t="s">
        <v>12</v>
      </c>
      <c r="B7" s="2" t="s">
        <v>30</v>
      </c>
      <c r="C7" s="2"/>
      <c r="D7" s="2" t="s">
        <v>29</v>
      </c>
      <c r="E7" s="2"/>
      <c r="F7" s="6" t="s">
        <v>32</v>
      </c>
      <c r="I7" t="s">
        <v>54</v>
      </c>
      <c r="L7" t="s">
        <v>60</v>
      </c>
    </row>
    <row r="8" spans="1:13" ht="12">
      <c r="A8" t="s">
        <v>24</v>
      </c>
      <c r="B8" s="4">
        <f>G5/(B13*(B10-B9))</f>
        <v>9.215601818616895</v>
      </c>
      <c r="C8" s="2"/>
      <c r="D8" s="4">
        <f>41500/3600</f>
        <v>11.527777777777779</v>
      </c>
      <c r="E8" s="2"/>
      <c r="F8" s="6" t="s">
        <v>87</v>
      </c>
      <c r="I8" s="6" t="s">
        <v>41</v>
      </c>
      <c r="J8" s="13">
        <f>D8*(G9/G26)/(D12*3.1416/4*G13^2)</f>
        <v>2.960973673364321</v>
      </c>
      <c r="L8" t="s">
        <v>62</v>
      </c>
      <c r="M8" s="14">
        <f>B8/G29</f>
        <v>991.9591241165946</v>
      </c>
    </row>
    <row r="9" spans="1:13" ht="12">
      <c r="A9" t="s">
        <v>19</v>
      </c>
      <c r="B9" s="2">
        <v>35</v>
      </c>
      <c r="C9" s="2"/>
      <c r="D9" s="2">
        <v>140</v>
      </c>
      <c r="E9" s="2"/>
      <c r="F9" s="6" t="s">
        <v>55</v>
      </c>
      <c r="G9">
        <v>4</v>
      </c>
      <c r="I9" s="6" t="s">
        <v>56</v>
      </c>
      <c r="J9" s="15">
        <f>D12*J8*G13/D14</f>
        <v>25205.088328725033</v>
      </c>
      <c r="L9" t="s">
        <v>56</v>
      </c>
      <c r="M9" s="15">
        <f>M8*G28/B14</f>
        <v>38526.88475563257</v>
      </c>
    </row>
    <row r="10" spans="1:13" ht="12">
      <c r="A10" t="s">
        <v>20</v>
      </c>
      <c r="B10" s="2">
        <v>85</v>
      </c>
      <c r="C10" s="2"/>
      <c r="D10" s="2">
        <v>80</v>
      </c>
      <c r="E10" s="2"/>
      <c r="F10" s="6" t="s">
        <v>33</v>
      </c>
      <c r="I10" t="s">
        <v>42</v>
      </c>
      <c r="J10" s="7">
        <f>(1.58*LN(J9)-3.28)^(-2)</f>
        <v>0.006167930722040678</v>
      </c>
      <c r="L10" t="s">
        <v>61</v>
      </c>
      <c r="M10">
        <f>(B11+D11)/2</f>
        <v>85</v>
      </c>
    </row>
    <row r="11" spans="1:13" ht="12">
      <c r="A11" t="s">
        <v>13</v>
      </c>
      <c r="B11" s="2">
        <f>(B9+B10)/2</f>
        <v>60</v>
      </c>
      <c r="C11" s="2"/>
      <c r="D11" s="2">
        <f>(D9+D10)/2</f>
        <v>110</v>
      </c>
      <c r="E11" s="2"/>
      <c r="F11" s="6" t="s">
        <v>79</v>
      </c>
      <c r="G11">
        <v>54</v>
      </c>
      <c r="I11" t="s">
        <v>57</v>
      </c>
      <c r="J11" s="14">
        <f>(J10/2)*(J9-1000)*D16/(1+12.7*SQRT(J10/2)*(D16^(2/3)-1))</f>
        <v>274.48292426577893</v>
      </c>
      <c r="K11" t="s">
        <v>58</v>
      </c>
      <c r="L11" t="s">
        <v>64</v>
      </c>
      <c r="M11" s="17">
        <f>(-(3.47-3.72)/(87.78-82.22)*(87.787-85)+3.27)/10000</f>
        <v>0.0003395314748201439</v>
      </c>
    </row>
    <row r="12" spans="1:13" ht="12">
      <c r="A12" s="1" t="s">
        <v>18</v>
      </c>
      <c r="B12" s="2">
        <v>983.3</v>
      </c>
      <c r="C12" s="2"/>
      <c r="D12" s="2">
        <v>1052</v>
      </c>
      <c r="E12" s="2"/>
      <c r="F12" s="6" t="s">
        <v>34</v>
      </c>
      <c r="G12" s="9">
        <f>3/4*0.0254</f>
        <v>0.019049999999999997</v>
      </c>
      <c r="I12" t="s">
        <v>59</v>
      </c>
      <c r="J12" s="15">
        <f>J11*D15/G13</f>
        <v>4601.440945273409</v>
      </c>
      <c r="L12" t="s">
        <v>65</v>
      </c>
      <c r="M12" s="13">
        <f>(B14/M11)^0.14</f>
        <v>1.046886793998461</v>
      </c>
    </row>
    <row r="13" spans="1:14" ht="12">
      <c r="A13" t="s">
        <v>14</v>
      </c>
      <c r="B13" s="2">
        <v>4179</v>
      </c>
      <c r="C13" s="2"/>
      <c r="D13" s="2">
        <v>2784</v>
      </c>
      <c r="E13" s="2"/>
      <c r="F13" s="6" t="s">
        <v>35</v>
      </c>
      <c r="G13" s="9">
        <f>0.62*0.0254</f>
        <v>0.015747999999999998</v>
      </c>
      <c r="L13" t="s">
        <v>57</v>
      </c>
      <c r="M13" s="14">
        <f>0.36*M9^0.55*B16^(1/3)*M12</f>
        <v>181.09002512296084</v>
      </c>
      <c r="N13" t="s">
        <v>66</v>
      </c>
    </row>
    <row r="14" spans="1:13" ht="12">
      <c r="A14" t="s">
        <v>15</v>
      </c>
      <c r="B14" s="2">
        <v>0.000471</v>
      </c>
      <c r="C14" s="2"/>
      <c r="D14" s="3">
        <f>0.00000185*D12</f>
        <v>0.0019462000000000001</v>
      </c>
      <c r="E14" s="2"/>
      <c r="F14" s="6" t="s">
        <v>36</v>
      </c>
      <c r="G14" s="8">
        <v>1.21</v>
      </c>
      <c r="L14" t="s">
        <v>63</v>
      </c>
      <c r="M14" s="15">
        <f>M13*B15/G28</f>
        <v>6474.127570875938</v>
      </c>
    </row>
    <row r="15" spans="1:12" ht="12">
      <c r="A15" t="s">
        <v>16</v>
      </c>
      <c r="B15" s="2">
        <v>0.654</v>
      </c>
      <c r="C15" s="2"/>
      <c r="D15" s="2">
        <v>0.264</v>
      </c>
      <c r="E15" s="2"/>
      <c r="F15" s="6" t="s">
        <v>37</v>
      </c>
      <c r="G15" s="8">
        <f>0.0254*1</f>
        <v>0.0254</v>
      </c>
      <c r="I15" t="s">
        <v>67</v>
      </c>
      <c r="J15" s="17">
        <f>0.00009</f>
        <v>9E-05</v>
      </c>
      <c r="K15" t="s">
        <v>74</v>
      </c>
      <c r="L15" s="16">
        <f>J21*D18/J16</f>
        <v>9.172229070483189</v>
      </c>
    </row>
    <row r="16" spans="1:12" ht="12">
      <c r="A16" t="s">
        <v>17</v>
      </c>
      <c r="B16" s="2">
        <v>3.01</v>
      </c>
      <c r="C16" s="2"/>
      <c r="D16" s="5">
        <f>D14*D13/D15</f>
        <v>20.523563636363637</v>
      </c>
      <c r="E16" s="2"/>
      <c r="F16" s="6" t="s">
        <v>50</v>
      </c>
      <c r="G16" s="8">
        <v>0.4</v>
      </c>
      <c r="I16" t="s">
        <v>68</v>
      </c>
      <c r="J16" s="15">
        <f>1/(1/M14+G14/J12+G12*LN(G14)/(2*G11))</f>
        <v>2217.0717890066167</v>
      </c>
      <c r="K16" t="s">
        <v>75</v>
      </c>
      <c r="L16" s="16">
        <f>J21*D18/J17</f>
        <v>11.002423198785909</v>
      </c>
    </row>
    <row r="17" spans="1:12" ht="12">
      <c r="A17" t="s">
        <v>21</v>
      </c>
      <c r="B17" s="2">
        <v>8.8E-05</v>
      </c>
      <c r="C17" s="2"/>
      <c r="D17" s="2">
        <v>0.000352</v>
      </c>
      <c r="E17" s="2"/>
      <c r="F17" s="6" t="s">
        <v>39</v>
      </c>
      <c r="G17" s="8" t="s">
        <v>40</v>
      </c>
      <c r="I17" t="s">
        <v>69</v>
      </c>
      <c r="J17" s="15">
        <f>(1/J16+J15)^(-1)</f>
        <v>1848.2737799722731</v>
      </c>
      <c r="K17" t="s">
        <v>76</v>
      </c>
      <c r="L17" s="16">
        <f>J17/J16</f>
        <v>0.8336553598024954</v>
      </c>
    </row>
    <row r="18" spans="1:12" ht="12">
      <c r="A18" t="s">
        <v>70</v>
      </c>
      <c r="B18" s="2">
        <f>B8*B13</f>
        <v>38512</v>
      </c>
      <c r="C18" s="2"/>
      <c r="D18" s="18">
        <f>D8*D13</f>
        <v>32093.333333333336</v>
      </c>
      <c r="E18" s="2"/>
      <c r="F18" s="12" t="s">
        <v>45</v>
      </c>
      <c r="G18" s="8">
        <v>0.045</v>
      </c>
      <c r="I18" t="s">
        <v>71</v>
      </c>
      <c r="J18" s="13">
        <f>D18/B18</f>
        <v>0.8333333333333334</v>
      </c>
      <c r="K18" t="s">
        <v>77</v>
      </c>
      <c r="L18" s="15">
        <f>100*J16*J15</f>
        <v>19.95364610105955</v>
      </c>
    </row>
    <row r="19" spans="2:12" ht="12">
      <c r="B19" s="2"/>
      <c r="C19" s="2"/>
      <c r="D19" s="2"/>
      <c r="E19" s="2"/>
      <c r="F19" s="12" t="s">
        <v>46</v>
      </c>
      <c r="G19" s="9">
        <f>G18/(G13*1000)</f>
        <v>0.0028575057150114305</v>
      </c>
      <c r="I19" s="12" t="s">
        <v>72</v>
      </c>
      <c r="J19" s="13">
        <f>(D9-D10)/(D9-B9)</f>
        <v>0.5714285714285714</v>
      </c>
      <c r="K19" t="s">
        <v>78</v>
      </c>
      <c r="L19" s="14">
        <f>L16/(3.1416*G12*G26)</f>
        <v>2.418961104123592</v>
      </c>
    </row>
    <row r="20" spans="1:12" ht="12">
      <c r="A20" s="51" t="s">
        <v>7</v>
      </c>
      <c r="B20" s="2"/>
      <c r="C20" s="2"/>
      <c r="D20" s="2"/>
      <c r="E20" s="2"/>
      <c r="F20" s="6" t="s">
        <v>42</v>
      </c>
      <c r="G20" s="9">
        <v>0.0065</v>
      </c>
      <c r="I20" t="s">
        <v>88</v>
      </c>
      <c r="J20" s="16">
        <f>(2/J19-1+J18)/SQRT(1+J18^2)</f>
        <v>2.5607375986579193</v>
      </c>
      <c r="K20" t="s">
        <v>86</v>
      </c>
      <c r="L20" s="16">
        <f>L19/G27-1</f>
        <v>18.840560237234186</v>
      </c>
    </row>
    <row r="21" spans="1:12" ht="12">
      <c r="A21" s="51" t="s">
        <v>9</v>
      </c>
      <c r="B21" s="2"/>
      <c r="C21" s="2"/>
      <c r="D21" s="2"/>
      <c r="E21" s="2"/>
      <c r="F21" s="6" t="s">
        <v>41</v>
      </c>
      <c r="G21" s="10">
        <f>SQRT(1000/(2*G20*D12/G13))</f>
        <v>1.07308261023484</v>
      </c>
      <c r="I21" t="s">
        <v>73</v>
      </c>
      <c r="J21" s="16">
        <f>-1/SQRT(J18^2+1)*LN((J20-1)/(J20+1))</f>
        <v>0.6336359674223512</v>
      </c>
      <c r="L21" s="15"/>
    </row>
    <row r="22" spans="2:7" ht="12">
      <c r="B22" s="2"/>
      <c r="C22" s="2"/>
      <c r="D22" s="2"/>
      <c r="E22" s="2"/>
      <c r="F22" s="6" t="s">
        <v>43</v>
      </c>
      <c r="G22" s="10">
        <f>D12*G21*3.1416/4*G13^2</f>
        <v>0.21988246955211888</v>
      </c>
    </row>
    <row r="23" spans="2:9" ht="12">
      <c r="B23" s="2"/>
      <c r="C23" s="2"/>
      <c r="D23" s="2"/>
      <c r="E23" s="2"/>
      <c r="F23" s="6" t="s">
        <v>44</v>
      </c>
      <c r="G23" s="11">
        <f>D8/G22*G9</f>
        <v>209.7079917513905</v>
      </c>
      <c r="I23" t="s">
        <v>80</v>
      </c>
    </row>
    <row r="24" spans="2:12" ht="12">
      <c r="B24" s="2"/>
      <c r="C24" s="2"/>
      <c r="D24" s="2"/>
      <c r="E24" s="2"/>
      <c r="F24" s="6" t="s">
        <v>47</v>
      </c>
      <c r="G24" s="8"/>
      <c r="I24" t="s">
        <v>54</v>
      </c>
      <c r="L24" t="s">
        <v>60</v>
      </c>
    </row>
    <row r="25" spans="2:13" ht="12">
      <c r="B25" s="2"/>
      <c r="C25" s="2"/>
      <c r="D25" s="2"/>
      <c r="E25" s="2"/>
      <c r="F25" s="6" t="s">
        <v>48</v>
      </c>
      <c r="G25" s="8">
        <f>H25*0.0254</f>
        <v>0.30479999999999996</v>
      </c>
      <c r="H25">
        <v>12</v>
      </c>
      <c r="I25" s="12" t="s">
        <v>81</v>
      </c>
      <c r="J25" s="9">
        <v>0.0028575057150114305</v>
      </c>
      <c r="L25" s="12" t="s">
        <v>81</v>
      </c>
      <c r="M25" s="17">
        <f>G18/(1000*G28)</f>
        <v>0.0024599228649199232</v>
      </c>
    </row>
    <row r="26" spans="2:13" ht="12">
      <c r="B26" s="2"/>
      <c r="C26" s="2"/>
      <c r="D26" s="2"/>
      <c r="E26" s="2"/>
      <c r="F26" s="6" t="s">
        <v>44</v>
      </c>
      <c r="G26">
        <v>76</v>
      </c>
      <c r="I26" t="s">
        <v>56</v>
      </c>
      <c r="J26" s="15">
        <f>J9</f>
        <v>25205.088328725033</v>
      </c>
      <c r="L26" t="s">
        <v>56</v>
      </c>
      <c r="M26" s="15">
        <f>M9</f>
        <v>38526.88475563257</v>
      </c>
    </row>
    <row r="27" spans="2:13" ht="12">
      <c r="B27" s="2"/>
      <c r="C27" s="2"/>
      <c r="D27" s="2"/>
      <c r="E27" s="2"/>
      <c r="F27" s="6" t="s">
        <v>49</v>
      </c>
      <c r="G27">
        <f>G16*G25</f>
        <v>0.12191999999999999</v>
      </c>
      <c r="I27" t="s">
        <v>82</v>
      </c>
      <c r="J27">
        <f>(2.457*LN(1/((7/J26)^0.9+0.27*J25)))^16</f>
        <v>2.12732180608814E+19</v>
      </c>
      <c r="L27" t="s">
        <v>82</v>
      </c>
      <c r="M27">
        <f>(2.457*LN(1/((7/M26)^0.9+0.27*M25)))^16</f>
        <v>3.8441731294728724E+19</v>
      </c>
    </row>
    <row r="28" spans="2:13" ht="12">
      <c r="B28" s="2"/>
      <c r="C28" s="2"/>
      <c r="D28" s="2"/>
      <c r="E28" s="2"/>
      <c r="F28" s="6" t="s">
        <v>89</v>
      </c>
      <c r="G28" s="13">
        <f>4/(3.1416*G12)*(SQRT(3)/2*G15^2-3.1416*G12^2/4)</f>
        <v>0.018293256525124767</v>
      </c>
      <c r="I28" t="s">
        <v>83</v>
      </c>
      <c r="J28">
        <f>(37530/J26)^16</f>
        <v>583.7749443499073</v>
      </c>
      <c r="L28" t="s">
        <v>83</v>
      </c>
      <c r="M28">
        <f>(37530/M26)^16</f>
        <v>0.6574076135072486</v>
      </c>
    </row>
    <row r="29" spans="2:13" ht="12">
      <c r="B29" s="2"/>
      <c r="C29" s="2"/>
      <c r="D29" s="2"/>
      <c r="E29" s="2"/>
      <c r="F29" s="6" t="s">
        <v>52</v>
      </c>
      <c r="G29" s="7">
        <f>(G15-G12)/G15*G25*G27</f>
        <v>0.009290304</v>
      </c>
      <c r="I29" t="s">
        <v>42</v>
      </c>
      <c r="J29" s="17">
        <f>2*((8/J26)^12+1/(J27+J28)^(3/2))^(1/12)</f>
        <v>0.007674513363946653</v>
      </c>
      <c r="K29" s="16"/>
      <c r="L29" t="s">
        <v>42</v>
      </c>
      <c r="M29" s="17">
        <f>2*((8/M26)^12+1/(M27+M28)^(3/2))^(1/12)</f>
        <v>0.007127375310853842</v>
      </c>
    </row>
    <row r="30" spans="2:13" ht="12">
      <c r="B30" s="2"/>
      <c r="C30" s="2"/>
      <c r="D30" s="2"/>
      <c r="E30" s="2"/>
      <c r="F30" s="6"/>
      <c r="I30" t="s">
        <v>84</v>
      </c>
      <c r="J30" s="15">
        <f>G9*2*J29*L19/G13*D12*J8^2+(G9-1)*D12*J8^2*2</f>
        <v>142321.55945334</v>
      </c>
      <c r="L30" t="s">
        <v>84</v>
      </c>
      <c r="M30" s="14">
        <f>M29*M8^2*(L20+1)*G25/(B12*G28)</f>
        <v>2357.811118803371</v>
      </c>
    </row>
    <row r="31" spans="2:13" ht="12">
      <c r="B31" s="2"/>
      <c r="C31" s="2"/>
      <c r="D31" s="2"/>
      <c r="E31" s="2"/>
      <c r="F31" s="6"/>
      <c r="I31" t="s">
        <v>85</v>
      </c>
      <c r="J31" s="15">
        <f>J30/L19</f>
        <v>58835.81972886009</v>
      </c>
      <c r="L31" t="s">
        <v>85</v>
      </c>
      <c r="M31" s="15">
        <f>M30/L19</f>
        <v>974.720558666289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RIVAS</dc:creator>
  <cp:keywords/>
  <dc:description/>
  <cp:lastModifiedBy>Mabel Briceño</cp:lastModifiedBy>
  <cp:lastPrinted>2004-11-25T13:17:27Z</cp:lastPrinted>
  <dcterms:created xsi:type="dcterms:W3CDTF">2004-11-23T15:41:43Z</dcterms:created>
  <dcterms:modified xsi:type="dcterms:W3CDTF">2004-11-28T16:10:13Z</dcterms:modified>
  <cp:category/>
  <cp:version/>
  <cp:contentType/>
  <cp:contentStatus/>
</cp:coreProperties>
</file>