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0" windowHeight="9000" activeTab="5"/>
  </bookViews>
  <sheets>
    <sheet name="Triangular" sheetId="1" r:id="rId1"/>
    <sheet name="Cuadrado" sheetId="2" r:id="rId2"/>
    <sheet name="B=60 %Dc" sheetId="3" r:id="rId3"/>
    <sheet name="Pt 15_16" sheetId="4" r:id="rId4"/>
    <sheet name="BWG 12" sheetId="5" r:id="rId5"/>
    <sheet name="Resumen" sheetId="6" r:id="rId6"/>
  </sheets>
  <definedNames/>
  <calcPr fullCalcOnLoad="1"/>
</workbook>
</file>

<file path=xl/sharedStrings.xml><?xml version="1.0" encoding="utf-8"?>
<sst xmlns="http://schemas.openxmlformats.org/spreadsheetml/2006/main" count="492" uniqueCount="110">
  <si>
    <t>Aquí se evalúa tubo 3/4" OD, BWG 12, arreglo triangular.</t>
  </si>
  <si>
    <t>Este problema está basado en el "pasesydc.xls" y se evalúa el efecto del</t>
  </si>
  <si>
    <t>Fluido frío</t>
  </si>
  <si>
    <t>Fluido caliente</t>
  </si>
  <si>
    <t>Carga térmica, W:</t>
  </si>
  <si>
    <t>Evaluación térmica:</t>
  </si>
  <si>
    <t>Agua</t>
  </si>
  <si>
    <t>Etilén glicol</t>
  </si>
  <si>
    <t>Asignación</t>
  </si>
  <si>
    <t>Carcaza</t>
  </si>
  <si>
    <t>Tubos</t>
  </si>
  <si>
    <t>Configuración preliminar:</t>
  </si>
  <si>
    <t>Lado tubos:</t>
  </si>
  <si>
    <t>Lado carcaza:</t>
  </si>
  <si>
    <t>m, kg/s:</t>
  </si>
  <si>
    <t>Carcaza-tubo 1-2, arreglo triangular</t>
  </si>
  <si>
    <t>v, m/s:</t>
  </si>
  <si>
    <r>
      <t>G,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s: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</si>
  <si>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ºC:</t>
    </r>
  </si>
  <si>
    <t>Np:</t>
  </si>
  <si>
    <t>Re: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</si>
  <si>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ºC:</t>
    </r>
  </si>
  <si>
    <t>Tubos 3/4 OD, BWG 16</t>
  </si>
  <si>
    <t>f:</t>
  </si>
  <si>
    <t>Tp, ºC:</t>
  </si>
  <si>
    <t>Tm, ºC:</t>
  </si>
  <si>
    <t>k, W/m K:</t>
  </si>
  <si>
    <t>Nu:</t>
  </si>
  <si>
    <t>Gnielinski</t>
  </si>
  <si>
    <r>
      <t>µ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, Pa.s:</t>
    </r>
  </si>
  <si>
    <r>
      <t>r</t>
    </r>
    <r>
      <rPr>
        <sz val="10"/>
        <rFont val="Arial"/>
        <family val="0"/>
      </rPr>
      <t>,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:</t>
    </r>
  </si>
  <si>
    <t>do, m:</t>
  </si>
  <si>
    <t>hi, W/m2 K:</t>
  </si>
  <si>
    <r>
      <t>(µ/µ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)^0.14:</t>
    </r>
  </si>
  <si>
    <t>Cp, J/kg K:</t>
  </si>
  <si>
    <t>di, m:</t>
  </si>
  <si>
    <t>Kern</t>
  </si>
  <si>
    <t>µ, Pa.s:</t>
  </si>
  <si>
    <t>do/di:</t>
  </si>
  <si>
    <r>
      <t>ho,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</si>
  <si>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t>k, W/m k:</t>
  </si>
  <si>
    <t>Pt, m:</t>
  </si>
  <si>
    <r>
      <t>Rst,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K/W:</t>
    </r>
  </si>
  <si>
    <r>
      <t>Aol,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</si>
  <si>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Pr:</t>
  </si>
  <si>
    <t>B, fracción de Dc:</t>
  </si>
  <si>
    <r>
      <t>Uol,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</si>
  <si>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r>
      <t>Aos,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</si>
  <si>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Rs,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K/W:</t>
    </r>
  </si>
  <si>
    <t>Deflectores:</t>
  </si>
  <si>
    <t>Corte 25 %</t>
  </si>
  <si>
    <r>
      <t>Uos,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K:</t>
    </r>
  </si>
  <si>
    <t>CF:</t>
  </si>
  <si>
    <t>C, J/s K:</t>
  </si>
  <si>
    <r>
      <t>e</t>
    </r>
    <r>
      <rPr>
        <sz val="10"/>
        <rFont val="Arial"/>
        <family val="0"/>
      </rPr>
      <t>, mm:</t>
    </r>
  </si>
  <si>
    <t>C*:</t>
  </si>
  <si>
    <t>SDA:</t>
  </si>
  <si>
    <r>
      <t>e</t>
    </r>
    <r>
      <rPr>
        <sz val="10"/>
        <rFont val="Arial"/>
        <family val="0"/>
      </rPr>
      <t>/di:</t>
    </r>
  </si>
  <si>
    <r>
      <t>e</t>
    </r>
    <r>
      <rPr>
        <sz val="10"/>
        <rFont val="Arial"/>
        <family val="0"/>
      </rPr>
      <t>:</t>
    </r>
  </si>
  <si>
    <t>L, m:</t>
  </si>
  <si>
    <t>E: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</si>
  <si>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:</t>
    </r>
  </si>
  <si>
    <t>NTU:</t>
  </si>
  <si>
    <t>mt, kg/s:</t>
  </si>
  <si>
    <t>Nt:</t>
  </si>
  <si>
    <t>Evaluación hidrodinámica:</t>
  </si>
  <si>
    <t>Configuración comercial:</t>
  </si>
  <si>
    <t>Dc, m,</t>
  </si>
  <si>
    <r>
      <t>e/</t>
    </r>
    <r>
      <rPr>
        <sz val="10"/>
        <rFont val="Arial"/>
        <family val="2"/>
      </rPr>
      <t>di</t>
    </r>
    <r>
      <rPr>
        <sz val="10"/>
        <rFont val="Symbol"/>
        <family val="1"/>
      </rPr>
      <t>:</t>
    </r>
  </si>
  <si>
    <t>B, m:</t>
  </si>
  <si>
    <t>A:</t>
  </si>
  <si>
    <t>Deq, m:</t>
  </si>
  <si>
    <t>B:</t>
  </si>
  <si>
    <r>
      <t>Ac,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</si>
  <si>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P), Pa: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</si>
  <si>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P/L), Pa/m:</t>
    </r>
  </si>
  <si>
    <t>Aquí se evalúa tubo 3/4" OD, BWG 16, arreglo cuadrado.</t>
  </si>
  <si>
    <t>Aquí se evalúa tubo 3/4" OD, BWG 16, arreglo triangular.</t>
  </si>
  <si>
    <t>Carcaza-tubo 1-2, arreglo cuadrado.</t>
  </si>
  <si>
    <t>Tabla resumen</t>
  </si>
  <si>
    <t>vt, m/s</t>
  </si>
  <si>
    <t>G, kg/s</t>
  </si>
  <si>
    <r>
      <t>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</si>
  <si>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h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</si>
  <si>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U</t>
    </r>
    <r>
      <rPr>
        <vertAlign val="subscript"/>
        <sz val="10"/>
        <rFont val="Arial"/>
        <family val="2"/>
      </rPr>
      <t>ol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</si>
  <si>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U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,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</t>
    </r>
  </si>
  <si>
    <r>
      <t>A</t>
    </r>
    <r>
      <rPr>
        <vertAlign val="subscript"/>
        <sz val="10"/>
        <rFont val="Arial"/>
        <family val="2"/>
      </rPr>
      <t>ol</t>
    </r>
    <r>
      <rPr>
        <sz val="10"/>
        <rFont val="Arial"/>
        <family val="0"/>
      </rPr>
      <t>, 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</si>
  <si>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os</t>
    </r>
    <r>
      <rPr>
        <sz val="10"/>
        <rFont val="Arial"/>
        <family val="0"/>
      </rPr>
      <t>, m</t>
    </r>
    <r>
      <rPr>
        <vertAlign val="superscript"/>
        <sz val="10"/>
        <rFont val="Arial"/>
        <family val="2"/>
      </rPr>
      <t>2</t>
    </r>
  </si>
  <si>
    <t>CF</t>
  </si>
  <si>
    <t>SDA</t>
  </si>
  <si>
    <t>L, m</t>
  </si>
  <si>
    <t>NB</t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</si>
  <si>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P)t, Pa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</si>
  <si>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P/L)t, Pa/m</t>
    </r>
  </si>
  <si>
    <r>
      <t>(-</t>
    </r>
    <r>
      <rPr>
        <sz val="10"/>
        <rFont val="Symbol"/>
        <family val="1"/>
      </rPr>
      <t>D</t>
    </r>
    <r>
      <rPr>
        <sz val="10"/>
        <rFont val="Arial"/>
        <family val="0"/>
      </rPr>
      <t>P)c, Pa</t>
    </r>
  </si>
  <si>
    <t>Nt</t>
  </si>
  <si>
    <t>Tabla resumen para configuración 1-2, carcaza de 12 "</t>
  </si>
  <si>
    <t>Arreglo</t>
  </si>
  <si>
    <t>3/4</t>
  </si>
  <si>
    <t>OD, pulg</t>
  </si>
  <si>
    <t>Triangular</t>
  </si>
  <si>
    <t>Cuadrado</t>
  </si>
  <si>
    <t>Pt, pulg</t>
  </si>
  <si>
    <t>BWG</t>
  </si>
  <si>
    <t>tipo de arreglo, tamaño del tubo, etc. Se parte de la mejor configuración, 1-2 de 12 ".</t>
  </si>
  <si>
    <t>B, %Dc</t>
  </si>
  <si>
    <t>Aquí se evalúa tubo 3/4" OD, BWG 16, arreglo triangula, B =60 %Dc</t>
  </si>
  <si>
    <t>15/16</t>
  </si>
  <si>
    <t>Aquí se evalúa tubo 3/4" OD, BWG 16, arreglotraingular, Pt 15/16"</t>
  </si>
  <si>
    <t>di, pulg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</si>
</sst>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 quotePrefix="1">
      <alignment horizontal="center"/>
    </xf>
    <xf numFmtId="0" fontId="0" fillId="2" borderId="1" xfId="0" applyNumberForma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11.421875" defaultRowHeight="12.75"/>
  <cols>
    <col min="3" max="3" width="2.28125" style="0" customWidth="1"/>
    <col min="5" max="5" width="2.8515625" style="0" customWidth="1"/>
    <col min="6" max="6" width="15.421875" style="0" customWidth="1"/>
    <col min="7" max="7" width="11.421875" style="0" customWidth="1"/>
    <col min="8" max="8" width="4.00390625" style="0" customWidth="1"/>
    <col min="9" max="9" width="12.421875" style="0" customWidth="1"/>
    <col min="10" max="10" width="8.421875" style="0" customWidth="1"/>
    <col min="11" max="11" width="8.00390625" style="0" customWidth="1"/>
    <col min="13" max="13" width="8.140625" style="0" customWidth="1"/>
  </cols>
  <sheetData>
    <row r="1" ht="12">
      <c r="A1" t="s">
        <v>1</v>
      </c>
    </row>
    <row r="2" ht="12">
      <c r="A2" t="s">
        <v>104</v>
      </c>
    </row>
    <row r="3" ht="12">
      <c r="A3" t="s">
        <v>77</v>
      </c>
    </row>
    <row r="5" spans="2:9" ht="12">
      <c r="B5" s="1" t="s">
        <v>2</v>
      </c>
      <c r="C5" s="1"/>
      <c r="D5" s="1" t="s">
        <v>3</v>
      </c>
      <c r="E5" s="1"/>
      <c r="F5" s="2" t="s">
        <v>4</v>
      </c>
      <c r="G5" s="2">
        <f>D8*D13*(D9-D10)</f>
        <v>1925600.0000000002</v>
      </c>
      <c r="I5" t="s">
        <v>5</v>
      </c>
    </row>
    <row r="6" spans="2:6" ht="12">
      <c r="B6" s="1" t="s">
        <v>6</v>
      </c>
      <c r="C6" s="1"/>
      <c r="D6" s="1" t="s">
        <v>7</v>
      </c>
      <c r="E6" s="1"/>
      <c r="F6" s="2"/>
    </row>
    <row r="7" spans="1:12" ht="12">
      <c r="A7" t="s">
        <v>8</v>
      </c>
      <c r="B7" s="1" t="s">
        <v>9</v>
      </c>
      <c r="C7" s="1"/>
      <c r="D7" s="1" t="s">
        <v>10</v>
      </c>
      <c r="E7" s="1"/>
      <c r="F7" s="2" t="s">
        <v>11</v>
      </c>
      <c r="I7" t="s">
        <v>12</v>
      </c>
      <c r="L7" t="s">
        <v>13</v>
      </c>
    </row>
    <row r="8" spans="1:13" ht="12">
      <c r="A8" t="s">
        <v>14</v>
      </c>
      <c r="B8" s="3">
        <f>G5/(B13*(B10-B9))</f>
        <v>9.215601818616895</v>
      </c>
      <c r="C8" s="1"/>
      <c r="D8" s="3">
        <f>41500/3600</f>
        <v>11.527777777777779</v>
      </c>
      <c r="E8" s="1"/>
      <c r="F8" s="2" t="s">
        <v>15</v>
      </c>
      <c r="I8" s="2" t="s">
        <v>16</v>
      </c>
      <c r="J8" s="13">
        <f>D8*(G9/G26)/(D12*3.1416/4*G13^2)</f>
        <v>1.3721585315590756</v>
      </c>
      <c r="L8" t="s">
        <v>17</v>
      </c>
      <c r="M8" s="6">
        <f>B8/G29</f>
        <v>991.9591241165946</v>
      </c>
    </row>
    <row r="9" spans="1:13" ht="12">
      <c r="A9" t="s">
        <v>18</v>
      </c>
      <c r="B9" s="1">
        <v>35</v>
      </c>
      <c r="C9" s="1"/>
      <c r="D9" s="1">
        <v>140</v>
      </c>
      <c r="E9" s="1"/>
      <c r="F9" s="2" t="s">
        <v>19</v>
      </c>
      <c r="G9">
        <v>2</v>
      </c>
      <c r="I9" s="2" t="s">
        <v>20</v>
      </c>
      <c r="J9" s="6">
        <f>D12*J8*G13/D14</f>
        <v>11680.406786482334</v>
      </c>
      <c r="L9" t="s">
        <v>20</v>
      </c>
      <c r="M9" s="6">
        <f>M8*G28/B14</f>
        <v>38526.88475563257</v>
      </c>
    </row>
    <row r="10" spans="1:13" ht="12">
      <c r="A10" t="s">
        <v>21</v>
      </c>
      <c r="B10" s="1">
        <v>85</v>
      </c>
      <c r="C10" s="1"/>
      <c r="D10" s="1">
        <v>80</v>
      </c>
      <c r="E10" s="1"/>
      <c r="F10" s="2" t="s">
        <v>22</v>
      </c>
      <c r="I10" t="s">
        <v>23</v>
      </c>
      <c r="J10" s="7">
        <f>(1.58*LN(J9)-3.28)^(-2)</f>
        <v>0.007538141483914293</v>
      </c>
      <c r="L10" t="s">
        <v>24</v>
      </c>
      <c r="M10">
        <f>(B11+D11)/2</f>
        <v>85</v>
      </c>
    </row>
    <row r="11" spans="1:13" ht="12">
      <c r="A11" t="s">
        <v>25</v>
      </c>
      <c r="B11" s="1">
        <f>(B9+B10)/2</f>
        <v>60</v>
      </c>
      <c r="C11" s="1"/>
      <c r="D11" s="1">
        <f>(D9+D10)/2</f>
        <v>110</v>
      </c>
      <c r="E11" s="1"/>
      <c r="F11" s="2" t="s">
        <v>26</v>
      </c>
      <c r="G11">
        <v>54</v>
      </c>
      <c r="I11" t="s">
        <v>27</v>
      </c>
      <c r="J11" s="5">
        <f>(J10/2)*(J9-1000)*D16/(1+12.7*SQRT(J10/2)*(D16^(2/3)-1))</f>
        <v>136.2225939056543</v>
      </c>
      <c r="K11" t="s">
        <v>28</v>
      </c>
      <c r="L11" t="s">
        <v>29</v>
      </c>
      <c r="M11" s="8">
        <f>(-(3.47-3.72)/(87.78-82.22)*(87.787-85)+3.27)/10000</f>
        <v>0.0003395314748201439</v>
      </c>
    </row>
    <row r="12" spans="1:13" ht="12">
      <c r="A12" s="9" t="s">
        <v>30</v>
      </c>
      <c r="B12" s="1">
        <v>983.3</v>
      </c>
      <c r="C12" s="1"/>
      <c r="D12" s="1">
        <v>1052</v>
      </c>
      <c r="E12" s="1"/>
      <c r="F12" s="2" t="s">
        <v>31</v>
      </c>
      <c r="G12" s="10">
        <f>3/4*0.0254</f>
        <v>0.019049999999999997</v>
      </c>
      <c r="I12" t="s">
        <v>32</v>
      </c>
      <c r="J12" s="6">
        <f>J11*D15/G13</f>
        <v>2283.6401315146522</v>
      </c>
      <c r="L12" t="s">
        <v>33</v>
      </c>
      <c r="M12" s="4">
        <f>(B14/M11)^0.14</f>
        <v>1.046886793998461</v>
      </c>
    </row>
    <row r="13" spans="1:14" ht="12">
      <c r="A13" t="s">
        <v>34</v>
      </c>
      <c r="B13" s="1">
        <v>4179</v>
      </c>
      <c r="C13" s="1"/>
      <c r="D13" s="1">
        <v>2784</v>
      </c>
      <c r="E13" s="1"/>
      <c r="F13" s="2" t="s">
        <v>35</v>
      </c>
      <c r="G13" s="10">
        <f>0.62*0.0254</f>
        <v>0.015747999999999998</v>
      </c>
      <c r="L13" t="s">
        <v>27</v>
      </c>
      <c r="M13" s="5">
        <f>0.36*M9^0.55*B16^(1/3)*M12</f>
        <v>181.09002512296084</v>
      </c>
      <c r="N13" t="s">
        <v>36</v>
      </c>
    </row>
    <row r="14" spans="1:13" ht="12">
      <c r="A14" t="s">
        <v>37</v>
      </c>
      <c r="B14" s="1">
        <v>0.000471</v>
      </c>
      <c r="C14" s="1"/>
      <c r="D14" s="11">
        <f>0.00000185*D12</f>
        <v>0.0019462000000000001</v>
      </c>
      <c r="E14" s="1"/>
      <c r="F14" s="2" t="s">
        <v>38</v>
      </c>
      <c r="G14" s="12">
        <v>1.21</v>
      </c>
      <c r="L14" t="s">
        <v>39</v>
      </c>
      <c r="M14" s="6">
        <f>M13*B15/G28</f>
        <v>6474.127570875938</v>
      </c>
    </row>
    <row r="15" spans="1:12" ht="12">
      <c r="A15" t="s">
        <v>40</v>
      </c>
      <c r="B15" s="1">
        <v>0.654</v>
      </c>
      <c r="C15" s="1"/>
      <c r="D15" s="1">
        <v>0.264</v>
      </c>
      <c r="E15" s="1"/>
      <c r="F15" s="2" t="s">
        <v>41</v>
      </c>
      <c r="G15" s="12">
        <f>0.0254*1</f>
        <v>0.0254</v>
      </c>
      <c r="I15" t="s">
        <v>42</v>
      </c>
      <c r="J15" s="8">
        <f>0.00009</f>
        <v>9E-05</v>
      </c>
      <c r="K15" t="s">
        <v>43</v>
      </c>
      <c r="L15" s="13">
        <f>J21*D18/J16</f>
        <v>14.599663813893207</v>
      </c>
    </row>
    <row r="16" spans="1:12" ht="12">
      <c r="A16" t="s">
        <v>44</v>
      </c>
      <c r="B16" s="1">
        <v>3.01</v>
      </c>
      <c r="C16" s="1"/>
      <c r="D16" s="14">
        <f>D14*D13/D15</f>
        <v>20.523563636363637</v>
      </c>
      <c r="E16" s="1"/>
      <c r="F16" s="2" t="s">
        <v>45</v>
      </c>
      <c r="G16" s="12">
        <v>0.4</v>
      </c>
      <c r="I16" t="s">
        <v>46</v>
      </c>
      <c r="J16" s="6">
        <f>1/(1/M14+G14/J12+G12*LN(G14)/(2*G11))</f>
        <v>1392.8738752958939</v>
      </c>
      <c r="K16" t="s">
        <v>47</v>
      </c>
      <c r="L16" s="13">
        <f>J21*D18/J17</f>
        <v>16.429857942195927</v>
      </c>
    </row>
    <row r="17" spans="1:12" ht="12">
      <c r="A17" t="s">
        <v>48</v>
      </c>
      <c r="B17" s="1">
        <v>8.8E-05</v>
      </c>
      <c r="C17" s="1"/>
      <c r="D17" s="1">
        <v>0.000352</v>
      </c>
      <c r="E17" s="1"/>
      <c r="F17" s="2" t="s">
        <v>49</v>
      </c>
      <c r="G17" s="12" t="s">
        <v>50</v>
      </c>
      <c r="I17" t="s">
        <v>51</v>
      </c>
      <c r="J17" s="6">
        <f>(1/J16+J15)^(-1)</f>
        <v>1237.7155290094206</v>
      </c>
      <c r="K17" t="s">
        <v>52</v>
      </c>
      <c r="L17" s="13">
        <f>J17/J16</f>
        <v>0.8886056023891522</v>
      </c>
    </row>
    <row r="18" spans="1:12" ht="12">
      <c r="A18" t="s">
        <v>53</v>
      </c>
      <c r="B18" s="1">
        <f>B8*B13</f>
        <v>38512</v>
      </c>
      <c r="C18" s="1"/>
      <c r="D18" s="15">
        <f>D8*D13</f>
        <v>32093.333333333336</v>
      </c>
      <c r="E18" s="1"/>
      <c r="F18" s="16" t="s">
        <v>54</v>
      </c>
      <c r="G18" s="12">
        <v>0.045</v>
      </c>
      <c r="I18" t="s">
        <v>55</v>
      </c>
      <c r="J18" s="4">
        <f>D18/B18</f>
        <v>0.8333333333333334</v>
      </c>
      <c r="K18" t="s">
        <v>56</v>
      </c>
      <c r="L18" s="6">
        <f>100*J16*J15</f>
        <v>12.535864877663045</v>
      </c>
    </row>
    <row r="19" spans="2:12" ht="12">
      <c r="B19" s="1"/>
      <c r="C19" s="1"/>
      <c r="D19" s="1"/>
      <c r="E19" s="1"/>
      <c r="F19" s="16" t="s">
        <v>57</v>
      </c>
      <c r="G19" s="10">
        <f>G18/(G13*1000)</f>
        <v>0.0028575057150114305</v>
      </c>
      <c r="I19" s="16" t="s">
        <v>58</v>
      </c>
      <c r="J19" s="4">
        <f>(D9-D10)/(D9-B9)</f>
        <v>0.5714285714285714</v>
      </c>
      <c r="K19" t="s">
        <v>59</v>
      </c>
      <c r="L19" s="5">
        <f>L16/(3.1416*G12*G26)</f>
        <v>3.347912414128244</v>
      </c>
    </row>
    <row r="20" spans="2:12" ht="12">
      <c r="B20" s="1"/>
      <c r="C20" s="1"/>
      <c r="D20" s="1"/>
      <c r="E20" s="1"/>
      <c r="F20" s="2" t="s">
        <v>23</v>
      </c>
      <c r="G20" s="10">
        <v>0.0065</v>
      </c>
      <c r="I20" t="s">
        <v>60</v>
      </c>
      <c r="J20" s="13">
        <f>(2/J19-1+J18)/SQRT(1+J18^2)</f>
        <v>2.5607375986579193</v>
      </c>
      <c r="K20" t="s">
        <v>61</v>
      </c>
      <c r="L20" s="6">
        <f>L19/G27-1</f>
        <v>26.459911533204107</v>
      </c>
    </row>
    <row r="21" spans="2:12" ht="12">
      <c r="B21" s="1"/>
      <c r="C21" s="1"/>
      <c r="D21" s="1"/>
      <c r="E21" s="1"/>
      <c r="F21" s="2" t="s">
        <v>16</v>
      </c>
      <c r="G21" s="17">
        <f>SQRT(1000/(2*G20*D12/G13))</f>
        <v>1.07308261023484</v>
      </c>
      <c r="I21" t="s">
        <v>62</v>
      </c>
      <c r="J21" s="13">
        <f>-1/SQRT(J18^2+1)*LN((J20-1)/(J20+1))</f>
        <v>0.6336359674223512</v>
      </c>
      <c r="L21" s="6"/>
    </row>
    <row r="22" spans="2:7" ht="12">
      <c r="B22" s="1"/>
      <c r="C22" s="1"/>
      <c r="D22" s="1"/>
      <c r="E22" s="1"/>
      <c r="F22" s="2" t="s">
        <v>63</v>
      </c>
      <c r="G22" s="17">
        <f>D12*G21*3.1416/4*G13^2</f>
        <v>0.21988246955211888</v>
      </c>
    </row>
    <row r="23" spans="2:9" ht="12">
      <c r="B23" s="1"/>
      <c r="C23" s="1"/>
      <c r="D23" s="1"/>
      <c r="E23" s="1"/>
      <c r="F23" s="2" t="s">
        <v>64</v>
      </c>
      <c r="G23" s="18">
        <f>D8/G22*G9</f>
        <v>104.85399587569525</v>
      </c>
      <c r="I23" t="s">
        <v>65</v>
      </c>
    </row>
    <row r="24" spans="2:12" ht="12">
      <c r="B24" s="1"/>
      <c r="C24" s="1"/>
      <c r="D24" s="1"/>
      <c r="E24" s="1"/>
      <c r="F24" s="2" t="s">
        <v>66</v>
      </c>
      <c r="G24" s="12"/>
      <c r="I24" t="s">
        <v>12</v>
      </c>
      <c r="L24" t="s">
        <v>13</v>
      </c>
    </row>
    <row r="25" spans="2:13" ht="12">
      <c r="B25" s="1"/>
      <c r="C25" s="1"/>
      <c r="D25" s="1"/>
      <c r="E25" s="1"/>
      <c r="F25" s="2" t="s">
        <v>67</v>
      </c>
      <c r="G25" s="12">
        <f>H25*0.0254</f>
        <v>0.30479999999999996</v>
      </c>
      <c r="H25">
        <v>12</v>
      </c>
      <c r="I25" s="16" t="s">
        <v>68</v>
      </c>
      <c r="J25" s="10">
        <v>0.0028575057150114305</v>
      </c>
      <c r="L25" s="16" t="s">
        <v>68</v>
      </c>
      <c r="M25" s="8">
        <f>G18/(1000*G28)</f>
        <v>0.0024599228649199232</v>
      </c>
    </row>
    <row r="26" spans="2:13" ht="12">
      <c r="B26" s="1"/>
      <c r="C26" s="1"/>
      <c r="D26" s="1"/>
      <c r="E26" s="1"/>
      <c r="F26" s="2" t="s">
        <v>64</v>
      </c>
      <c r="G26">
        <v>82</v>
      </c>
      <c r="I26" t="s">
        <v>20</v>
      </c>
      <c r="J26" s="6">
        <f>J9</f>
        <v>11680.406786482334</v>
      </c>
      <c r="L26" t="s">
        <v>20</v>
      </c>
      <c r="M26" s="6">
        <f>M9</f>
        <v>38526.88475563257</v>
      </c>
    </row>
    <row r="27" spans="2:13" ht="12">
      <c r="B27" s="1"/>
      <c r="C27" s="1"/>
      <c r="D27" s="1"/>
      <c r="E27" s="1"/>
      <c r="F27" s="2" t="s">
        <v>69</v>
      </c>
      <c r="G27">
        <f>G16*G25</f>
        <v>0.12191999999999999</v>
      </c>
      <c r="I27" t="s">
        <v>70</v>
      </c>
      <c r="J27">
        <f>(2.457*LN(1/((7/J26)^0.9+0.27*J25)))^16</f>
        <v>8.402024312045055E+18</v>
      </c>
      <c r="L27" t="s">
        <v>70</v>
      </c>
      <c r="M27">
        <f>(2.457*LN(1/((7/M26)^0.9+0.27*M25)))^16</f>
        <v>3.8441731294728724E+19</v>
      </c>
    </row>
    <row r="28" spans="2:13" ht="12">
      <c r="B28" s="1"/>
      <c r="C28" s="1"/>
      <c r="D28" s="1"/>
      <c r="E28" s="1"/>
      <c r="F28" s="2" t="s">
        <v>71</v>
      </c>
      <c r="G28" s="4">
        <f>4/(3.1416*G12)*(SQRT(3)/2*G15^2-3.1416*G12^2/4)</f>
        <v>0.018293256525124767</v>
      </c>
      <c r="I28" t="s">
        <v>72</v>
      </c>
      <c r="J28">
        <f>(37530/J26)^16</f>
        <v>129041541.79399613</v>
      </c>
      <c r="L28" t="s">
        <v>72</v>
      </c>
      <c r="M28">
        <f>(37530/M26)^16</f>
        <v>0.6574076135072486</v>
      </c>
    </row>
    <row r="29" spans="2:13" ht="12">
      <c r="B29" s="1"/>
      <c r="C29" s="1"/>
      <c r="D29" s="1"/>
      <c r="E29" s="1"/>
      <c r="F29" s="2" t="s">
        <v>73</v>
      </c>
      <c r="G29" s="7">
        <f>(G15-G12)/G15*G25*G27</f>
        <v>0.009290304</v>
      </c>
      <c r="I29" t="s">
        <v>23</v>
      </c>
      <c r="J29" s="8">
        <f>2*((8/J26)^12+1/(J27+J28)^(3/2))^(1/12)</f>
        <v>0.008619498609495043</v>
      </c>
      <c r="K29" s="13"/>
      <c r="L29" t="s">
        <v>23</v>
      </c>
      <c r="M29" s="8">
        <f>2*((8/M26)^12+1/(M27+M28)^(3/2))^(1/12)</f>
        <v>0.007127375310853842</v>
      </c>
    </row>
    <row r="30" spans="2:13" ht="12">
      <c r="B30" s="1"/>
      <c r="C30" s="1"/>
      <c r="D30" s="1"/>
      <c r="E30" s="1"/>
      <c r="F30" s="2"/>
      <c r="I30" t="s">
        <v>74</v>
      </c>
      <c r="J30" s="6">
        <f>G9*2*J29*L19/G13*D12*J8^2+(G9-1)*D12*J8^2*2</f>
        <v>18479.725542022243</v>
      </c>
      <c r="L30" t="s">
        <v>74</v>
      </c>
      <c r="M30" s="5">
        <f>M29*M8^2*(L20+1)*G25/(B12*G28)</f>
        <v>3263.279058664887</v>
      </c>
    </row>
    <row r="31" spans="2:13" ht="12">
      <c r="B31" s="1"/>
      <c r="C31" s="1"/>
      <c r="D31" s="1"/>
      <c r="E31" s="1"/>
      <c r="F31" s="2"/>
      <c r="I31" t="s">
        <v>75</v>
      </c>
      <c r="J31" s="6">
        <f>J30/L19</f>
        <v>5519.775685898324</v>
      </c>
      <c r="L31" t="s">
        <v>75</v>
      </c>
      <c r="M31" s="6">
        <f>M30/L19</f>
        <v>974.7205586662892</v>
      </c>
    </row>
  </sheetData>
  <printOptions/>
  <pageMargins left="0.75" right="0.75" top="1" bottom="1" header="0" footer="0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11.421875" defaultRowHeight="12.75"/>
  <cols>
    <col min="2" max="2" width="9.7109375" style="0" customWidth="1"/>
    <col min="3" max="3" width="2.00390625" style="0" customWidth="1"/>
    <col min="5" max="5" width="2.421875" style="0" customWidth="1"/>
    <col min="6" max="6" width="15.421875" style="0" customWidth="1"/>
    <col min="7" max="7" width="9.7109375" style="0" customWidth="1"/>
    <col min="8" max="8" width="4.00390625" style="0" customWidth="1"/>
    <col min="10" max="10" width="9.421875" style="0" customWidth="1"/>
    <col min="11" max="11" width="8.28125" style="0" customWidth="1"/>
    <col min="13" max="13" width="9.421875" style="0" customWidth="1"/>
  </cols>
  <sheetData>
    <row r="1" ht="12">
      <c r="A1" t="s">
        <v>76</v>
      </c>
    </row>
    <row r="5" spans="2:9" ht="12">
      <c r="B5" s="1" t="s">
        <v>2</v>
      </c>
      <c r="C5" s="1"/>
      <c r="D5" s="1" t="s">
        <v>3</v>
      </c>
      <c r="E5" s="1"/>
      <c r="F5" s="2" t="s">
        <v>4</v>
      </c>
      <c r="G5" s="2">
        <f>D8*D13*(D9-D10)</f>
        <v>1925600.0000000002</v>
      </c>
      <c r="I5" t="s">
        <v>5</v>
      </c>
    </row>
    <row r="6" spans="2:6" ht="12">
      <c r="B6" s="1" t="s">
        <v>6</v>
      </c>
      <c r="C6" s="1"/>
      <c r="D6" s="1" t="s">
        <v>7</v>
      </c>
      <c r="E6" s="1"/>
      <c r="F6" s="2"/>
    </row>
    <row r="7" spans="1:12" ht="12">
      <c r="A7" t="s">
        <v>8</v>
      </c>
      <c r="B7" s="1" t="s">
        <v>9</v>
      </c>
      <c r="C7" s="1"/>
      <c r="D7" s="1" t="s">
        <v>10</v>
      </c>
      <c r="E7" s="1"/>
      <c r="F7" s="2" t="s">
        <v>11</v>
      </c>
      <c r="I7" t="s">
        <v>12</v>
      </c>
      <c r="L7" t="s">
        <v>13</v>
      </c>
    </row>
    <row r="8" spans="1:13" ht="12">
      <c r="A8" t="s">
        <v>14</v>
      </c>
      <c r="B8" s="3">
        <f>G5/(B13*(B10-B9))</f>
        <v>9.215601818616895</v>
      </c>
      <c r="C8" s="1"/>
      <c r="D8" s="3">
        <f>41500/3600</f>
        <v>11.527777777777779</v>
      </c>
      <c r="E8" s="1"/>
      <c r="F8" s="2" t="s">
        <v>78</v>
      </c>
      <c r="I8" s="2" t="s">
        <v>16</v>
      </c>
      <c r="J8" s="4">
        <f>D8*(G9/G26)/(D12*3.1416/4*G13^2)</f>
        <v>1.4804868366821604</v>
      </c>
      <c r="L8" t="s">
        <v>17</v>
      </c>
      <c r="M8" s="5">
        <f>B8/G29</f>
        <v>991.9591241165946</v>
      </c>
    </row>
    <row r="9" spans="1:13" ht="12">
      <c r="A9" t="s">
        <v>18</v>
      </c>
      <c r="B9" s="1">
        <v>35</v>
      </c>
      <c r="C9" s="1"/>
      <c r="D9" s="1">
        <v>140</v>
      </c>
      <c r="E9" s="1"/>
      <c r="F9" s="2" t="s">
        <v>19</v>
      </c>
      <c r="G9">
        <v>2</v>
      </c>
      <c r="I9" s="2" t="s">
        <v>20</v>
      </c>
      <c r="J9" s="6">
        <f>D12*J8*G13/D14</f>
        <v>12602.544164362516</v>
      </c>
      <c r="L9" t="s">
        <v>20</v>
      </c>
      <c r="M9" s="6">
        <f>M8*G28/B14</f>
        <v>50693.699136277915</v>
      </c>
    </row>
    <row r="10" spans="1:13" ht="12">
      <c r="A10" t="s">
        <v>21</v>
      </c>
      <c r="B10" s="1">
        <v>85</v>
      </c>
      <c r="C10" s="1"/>
      <c r="D10" s="1">
        <v>80</v>
      </c>
      <c r="E10" s="1"/>
      <c r="F10" s="2" t="s">
        <v>22</v>
      </c>
      <c r="I10" t="s">
        <v>23</v>
      </c>
      <c r="J10" s="7">
        <f>(1.58*LN(J9)-3.28)^(-2)</f>
        <v>0.007383414127211943</v>
      </c>
      <c r="L10" t="s">
        <v>24</v>
      </c>
      <c r="M10">
        <f>(B11+D11)/2</f>
        <v>85</v>
      </c>
    </row>
    <row r="11" spans="1:13" ht="12">
      <c r="A11" t="s">
        <v>25</v>
      </c>
      <c r="B11" s="1">
        <f>(B9+B10)/2</f>
        <v>60</v>
      </c>
      <c r="C11" s="1"/>
      <c r="D11" s="1">
        <f>(D9+D10)/2</f>
        <v>110</v>
      </c>
      <c r="E11" s="1"/>
      <c r="F11" s="2" t="s">
        <v>26</v>
      </c>
      <c r="G11">
        <v>54</v>
      </c>
      <c r="I11" t="s">
        <v>27</v>
      </c>
      <c r="J11" s="5">
        <f>(J10/2)*(J9-1000)*D16/(1+12.7*SQRT(J10/2)*(D16^(2/3)-1))</f>
        <v>146.20602792489245</v>
      </c>
      <c r="K11" t="s">
        <v>28</v>
      </c>
      <c r="L11" t="s">
        <v>29</v>
      </c>
      <c r="M11" s="8">
        <f>(-(3.47-3.72)/(87.78-82.22)*(87.787-85)+3.27)/10000</f>
        <v>0.0003395314748201439</v>
      </c>
    </row>
    <row r="12" spans="1:13" ht="12">
      <c r="A12" s="9" t="s">
        <v>30</v>
      </c>
      <c r="B12" s="1">
        <v>983.3</v>
      </c>
      <c r="C12" s="1"/>
      <c r="D12" s="1">
        <v>1052</v>
      </c>
      <c r="E12" s="1"/>
      <c r="F12" s="2" t="s">
        <v>31</v>
      </c>
      <c r="G12" s="10">
        <f>3/4*0.0254</f>
        <v>0.019049999999999997</v>
      </c>
      <c r="I12" t="s">
        <v>32</v>
      </c>
      <c r="J12" s="6">
        <f>J11*D15/G13</f>
        <v>2451.002754138406</v>
      </c>
      <c r="L12" t="s">
        <v>33</v>
      </c>
      <c r="M12" s="4">
        <f>(B14/M11)^0.14</f>
        <v>1.046886793998461</v>
      </c>
    </row>
    <row r="13" spans="1:14" ht="12">
      <c r="A13" t="s">
        <v>34</v>
      </c>
      <c r="B13" s="1">
        <v>4179</v>
      </c>
      <c r="C13" s="1"/>
      <c r="D13" s="1">
        <v>2784</v>
      </c>
      <c r="E13" s="1"/>
      <c r="F13" s="2" t="s">
        <v>35</v>
      </c>
      <c r="G13" s="10">
        <f>0.62*0.0254</f>
        <v>0.015747999999999998</v>
      </c>
      <c r="L13" t="s">
        <v>27</v>
      </c>
      <c r="M13" s="5">
        <f>0.36*M9^0.55*B16^(1/3)*M12</f>
        <v>210.5954956696127</v>
      </c>
      <c r="N13" t="s">
        <v>36</v>
      </c>
    </row>
    <row r="14" spans="1:13" ht="12">
      <c r="A14" t="s">
        <v>37</v>
      </c>
      <c r="B14" s="1">
        <v>0.000471</v>
      </c>
      <c r="C14" s="1"/>
      <c r="D14" s="11">
        <f>0.00000185*D12</f>
        <v>0.0019462000000000001</v>
      </c>
      <c r="E14" s="1"/>
      <c r="F14" s="2" t="s">
        <v>38</v>
      </c>
      <c r="G14" s="12">
        <v>1.21</v>
      </c>
      <c r="L14" t="s">
        <v>39</v>
      </c>
      <c r="M14" s="6">
        <f>M13*B15/G28</f>
        <v>5721.971794291868</v>
      </c>
    </row>
    <row r="15" spans="1:12" ht="12">
      <c r="A15" t="s">
        <v>40</v>
      </c>
      <c r="B15" s="1">
        <v>0.654</v>
      </c>
      <c r="C15" s="1"/>
      <c r="D15" s="1">
        <v>0.264</v>
      </c>
      <c r="E15" s="1"/>
      <c r="F15" s="2" t="s">
        <v>41</v>
      </c>
      <c r="G15" s="12">
        <f>0.0254*1</f>
        <v>0.0254</v>
      </c>
      <c r="I15" t="s">
        <v>42</v>
      </c>
      <c r="J15" s="8">
        <f>0.00009</f>
        <v>9E-05</v>
      </c>
      <c r="K15" t="s">
        <v>43</v>
      </c>
      <c r="L15" s="13">
        <f>J21*D18/J16</f>
        <v>14.276810370141515</v>
      </c>
    </row>
    <row r="16" spans="1:12" ht="12">
      <c r="A16" t="s">
        <v>44</v>
      </c>
      <c r="B16" s="1">
        <v>3.01</v>
      </c>
      <c r="C16" s="1"/>
      <c r="D16" s="14">
        <f>D14*D13/D15</f>
        <v>20.523563636363637</v>
      </c>
      <c r="E16" s="1"/>
      <c r="F16" s="2" t="s">
        <v>45</v>
      </c>
      <c r="G16" s="12">
        <v>0.4</v>
      </c>
      <c r="I16" t="s">
        <v>46</v>
      </c>
      <c r="J16" s="6">
        <f>1/(1/M14+G14/J12+G12*LN(G14)/(2*G11))</f>
        <v>1424.3720962354625</v>
      </c>
      <c r="K16" t="s">
        <v>47</v>
      </c>
      <c r="L16" s="13">
        <f>J21*D18/J17</f>
        <v>16.107004498444237</v>
      </c>
    </row>
    <row r="17" spans="1:12" ht="12">
      <c r="A17" t="s">
        <v>48</v>
      </c>
      <c r="B17" s="1">
        <v>8.8E-05</v>
      </c>
      <c r="C17" s="1"/>
      <c r="D17" s="1">
        <v>0.000352</v>
      </c>
      <c r="E17" s="1"/>
      <c r="F17" s="2" t="s">
        <v>49</v>
      </c>
      <c r="G17" s="12" t="s">
        <v>50</v>
      </c>
      <c r="I17" t="s">
        <v>51</v>
      </c>
      <c r="J17" s="6">
        <f>(1/J16+J15)^(-1)</f>
        <v>1262.5246560550008</v>
      </c>
      <c r="K17" t="s">
        <v>52</v>
      </c>
      <c r="L17" s="13">
        <f>J17/J16</f>
        <v>0.8863727809550499</v>
      </c>
    </row>
    <row r="18" spans="1:12" ht="12">
      <c r="A18" t="s">
        <v>53</v>
      </c>
      <c r="B18" s="1">
        <f>B8*B13</f>
        <v>38512</v>
      </c>
      <c r="C18" s="1"/>
      <c r="D18" s="15">
        <f>D8*D13</f>
        <v>32093.333333333336</v>
      </c>
      <c r="E18" s="1"/>
      <c r="F18" s="16" t="s">
        <v>54</v>
      </c>
      <c r="G18" s="12">
        <v>0.045</v>
      </c>
      <c r="I18" t="s">
        <v>55</v>
      </c>
      <c r="J18" s="4">
        <f>D18/B18</f>
        <v>0.8333333333333334</v>
      </c>
      <c r="K18" t="s">
        <v>56</v>
      </c>
      <c r="L18" s="6">
        <f>100*J16*J15</f>
        <v>12.819348866119164</v>
      </c>
    </row>
    <row r="19" spans="2:12" ht="12">
      <c r="B19" s="1"/>
      <c r="C19" s="1"/>
      <c r="D19" s="1"/>
      <c r="E19" s="1"/>
      <c r="F19" s="16" t="s">
        <v>57</v>
      </c>
      <c r="G19" s="10">
        <f>G18/(G13*1000)</f>
        <v>0.0028575057150114305</v>
      </c>
      <c r="I19" s="16" t="s">
        <v>58</v>
      </c>
      <c r="J19" s="4">
        <f>(D9-D10)/(D9-B9)</f>
        <v>0.5714285714285714</v>
      </c>
      <c r="K19" t="s">
        <v>59</v>
      </c>
      <c r="L19" s="5">
        <f>L16/(3.1416*G12*G26)</f>
        <v>3.5412396598214584</v>
      </c>
    </row>
    <row r="20" spans="2:12" ht="12">
      <c r="B20" s="1"/>
      <c r="C20" s="1"/>
      <c r="D20" s="1"/>
      <c r="E20" s="1"/>
      <c r="F20" s="2" t="s">
        <v>23</v>
      </c>
      <c r="G20" s="10">
        <v>0.0065</v>
      </c>
      <c r="I20" t="s">
        <v>60</v>
      </c>
      <c r="J20" s="13">
        <f>(2/J19-1+J18)/SQRT(1+J18^2)</f>
        <v>2.5607375986579193</v>
      </c>
      <c r="K20" t="s">
        <v>61</v>
      </c>
      <c r="L20" s="6">
        <f>L19/G27-1</f>
        <v>28.045600884362358</v>
      </c>
    </row>
    <row r="21" spans="2:12" ht="12">
      <c r="B21" s="1"/>
      <c r="C21" s="1"/>
      <c r="D21" s="1"/>
      <c r="E21" s="1"/>
      <c r="F21" s="2" t="s">
        <v>16</v>
      </c>
      <c r="G21" s="17">
        <f>SQRT(1000/(2*G20*D12/G13))</f>
        <v>1.07308261023484</v>
      </c>
      <c r="I21" t="s">
        <v>62</v>
      </c>
      <c r="J21" s="13">
        <f>-1/SQRT(J18^2+1)*LN((J20-1)/(J20+1))</f>
        <v>0.6336359674223512</v>
      </c>
      <c r="L21" s="6"/>
    </row>
    <row r="22" spans="2:7" ht="12">
      <c r="B22" s="1"/>
      <c r="C22" s="1"/>
      <c r="D22" s="1"/>
      <c r="E22" s="1"/>
      <c r="F22" s="2" t="s">
        <v>63</v>
      </c>
      <c r="G22" s="17">
        <f>D12*G21*3.1416/4*G13^2</f>
        <v>0.21988246955211888</v>
      </c>
    </row>
    <row r="23" spans="2:9" ht="12">
      <c r="B23" s="1"/>
      <c r="C23" s="1"/>
      <c r="D23" s="1"/>
      <c r="E23" s="1"/>
      <c r="F23" s="2" t="s">
        <v>64</v>
      </c>
      <c r="G23" s="18">
        <f>D8/G22*G9</f>
        <v>104.85399587569525</v>
      </c>
      <c r="I23" t="s">
        <v>65</v>
      </c>
    </row>
    <row r="24" spans="2:12" ht="12">
      <c r="B24" s="1"/>
      <c r="C24" s="1"/>
      <c r="D24" s="1"/>
      <c r="E24" s="1"/>
      <c r="F24" s="2" t="s">
        <v>66</v>
      </c>
      <c r="G24" s="12"/>
      <c r="I24" t="s">
        <v>12</v>
      </c>
      <c r="L24" t="s">
        <v>13</v>
      </c>
    </row>
    <row r="25" spans="2:13" ht="12">
      <c r="B25" s="1"/>
      <c r="C25" s="1"/>
      <c r="D25" s="1"/>
      <c r="E25" s="1"/>
      <c r="F25" s="2" t="s">
        <v>67</v>
      </c>
      <c r="G25" s="12">
        <f>H25*0.0254</f>
        <v>0.30479999999999996</v>
      </c>
      <c r="H25">
        <v>12</v>
      </c>
      <c r="I25" s="16" t="s">
        <v>68</v>
      </c>
      <c r="J25" s="10">
        <v>0.0028575057150114305</v>
      </c>
      <c r="L25" s="16" t="s">
        <v>68</v>
      </c>
      <c r="M25" s="8">
        <f>G18/(1000*G28)</f>
        <v>0.0018695255295878162</v>
      </c>
    </row>
    <row r="26" spans="2:13" ht="12">
      <c r="B26" s="1"/>
      <c r="C26" s="1"/>
      <c r="D26" s="1"/>
      <c r="E26" s="1"/>
      <c r="F26" s="2" t="s">
        <v>64</v>
      </c>
      <c r="G26">
        <v>76</v>
      </c>
      <c r="I26" t="s">
        <v>20</v>
      </c>
      <c r="J26" s="6">
        <f>J9</f>
        <v>12602.544164362516</v>
      </c>
      <c r="L26" t="s">
        <v>20</v>
      </c>
      <c r="M26" s="6">
        <f>M9</f>
        <v>50693.699136277915</v>
      </c>
    </row>
    <row r="27" spans="2:13" ht="12">
      <c r="B27" s="1"/>
      <c r="C27" s="1"/>
      <c r="D27" s="1"/>
      <c r="E27" s="1"/>
      <c r="F27" s="2" t="s">
        <v>69</v>
      </c>
      <c r="G27">
        <f>G16*G25</f>
        <v>0.12191999999999999</v>
      </c>
      <c r="I27" t="s">
        <v>70</v>
      </c>
      <c r="J27">
        <f>(2.457*LN(1/((7/J26)^0.9+0.27*J25)))^16</f>
        <v>9.356749602672583E+18</v>
      </c>
      <c r="L27" t="s">
        <v>70</v>
      </c>
      <c r="M27">
        <f>(2.457*LN(1/((7/M26)^0.9+0.27*M25)))^16</f>
        <v>7.052967508900737E+19</v>
      </c>
    </row>
    <row r="28" spans="2:13" ht="12">
      <c r="B28" s="1"/>
      <c r="C28" s="1"/>
      <c r="D28" s="1"/>
      <c r="E28" s="1"/>
      <c r="F28" s="2" t="s">
        <v>71</v>
      </c>
      <c r="G28" s="4">
        <f>4/(3.1416*G12)*(G15^2-3.1416*G12^2/4)</f>
        <v>0.02407027841439607</v>
      </c>
      <c r="I28" t="s">
        <v>72</v>
      </c>
      <c r="J28">
        <f>(37530/J26)^16</f>
        <v>38258274.752915524</v>
      </c>
      <c r="L28" t="s">
        <v>72</v>
      </c>
      <c r="M28">
        <f>(37530/M26)^16</f>
        <v>0.008143166274579543</v>
      </c>
    </row>
    <row r="29" spans="2:13" ht="12">
      <c r="B29" s="1"/>
      <c r="C29" s="1"/>
      <c r="D29" s="1"/>
      <c r="E29" s="1"/>
      <c r="F29" s="2" t="s">
        <v>73</v>
      </c>
      <c r="G29" s="7">
        <f>(G15-G12)/G15*G25*G27</f>
        <v>0.009290304</v>
      </c>
      <c r="I29" t="s">
        <v>23</v>
      </c>
      <c r="J29" s="8">
        <f>2*((8/J26)^12+1/(J27+J28)^(3/2))^(1/12)</f>
        <v>0.008504315619801599</v>
      </c>
      <c r="K29" s="13"/>
      <c r="L29" t="s">
        <v>23</v>
      </c>
      <c r="M29" s="8">
        <f>2*((8/M26)^12+1/(M27+M28)^(3/2))^(1/12)</f>
        <v>0.006606683626060211</v>
      </c>
    </row>
    <row r="30" spans="2:13" ht="12">
      <c r="B30" s="1"/>
      <c r="C30" s="1"/>
      <c r="D30" s="1"/>
      <c r="E30" s="1"/>
      <c r="F30" s="2"/>
      <c r="I30" t="s">
        <v>74</v>
      </c>
      <c r="J30" s="6">
        <f>G9*2*J29*L19/G13*D12*J8^2+(G9-1)*D12*J8^2*2</f>
        <v>22249.828032766964</v>
      </c>
      <c r="L30" t="s">
        <v>74</v>
      </c>
      <c r="M30" s="5">
        <f>M29*M8^2*(L20+1)*G25/(B12*G28)</f>
        <v>2431.6397738030873</v>
      </c>
    </row>
    <row r="31" spans="2:13" ht="12">
      <c r="B31" s="1"/>
      <c r="C31" s="1"/>
      <c r="D31" s="1"/>
      <c r="E31" s="1"/>
      <c r="F31" s="2"/>
      <c r="I31" t="s">
        <v>75</v>
      </c>
      <c r="J31" s="6">
        <f>J30/L19</f>
        <v>6283.061913377744</v>
      </c>
      <c r="L31" t="s">
        <v>75</v>
      </c>
      <c r="M31" s="6">
        <f>M30/L19</f>
        <v>686.6634307167127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D23" sqref="D23"/>
    </sheetView>
  </sheetViews>
  <sheetFormatPr defaultColWidth="11.421875" defaultRowHeight="12.75"/>
  <cols>
    <col min="8" max="8" width="3.8515625" style="0" customWidth="1"/>
  </cols>
  <sheetData>
    <row r="1" ht="12">
      <c r="A1" t="s">
        <v>106</v>
      </c>
    </row>
    <row r="5" spans="2:9" ht="12">
      <c r="B5" s="1" t="s">
        <v>2</v>
      </c>
      <c r="C5" s="1"/>
      <c r="D5" s="1" t="s">
        <v>3</v>
      </c>
      <c r="E5" s="1"/>
      <c r="F5" s="2" t="s">
        <v>4</v>
      </c>
      <c r="G5" s="2">
        <f>D8*D13*(D9-D10)</f>
        <v>1925600.0000000002</v>
      </c>
      <c r="I5" t="s">
        <v>5</v>
      </c>
    </row>
    <row r="6" spans="2:6" ht="12">
      <c r="B6" s="1" t="s">
        <v>6</v>
      </c>
      <c r="C6" s="1"/>
      <c r="D6" s="1" t="s">
        <v>7</v>
      </c>
      <c r="E6" s="1"/>
      <c r="F6" s="2"/>
    </row>
    <row r="7" spans="1:12" ht="12">
      <c r="A7" t="s">
        <v>8</v>
      </c>
      <c r="B7" s="1" t="s">
        <v>9</v>
      </c>
      <c r="C7" s="1"/>
      <c r="D7" s="1" t="s">
        <v>10</v>
      </c>
      <c r="E7" s="1"/>
      <c r="F7" s="2" t="s">
        <v>11</v>
      </c>
      <c r="I7" t="s">
        <v>12</v>
      </c>
      <c r="L7" t="s">
        <v>13</v>
      </c>
    </row>
    <row r="8" spans="1:13" ht="12">
      <c r="A8" t="s">
        <v>14</v>
      </c>
      <c r="B8" s="3">
        <f>G5/(B13*(B10-B9))</f>
        <v>9.215601818616895</v>
      </c>
      <c r="C8" s="1"/>
      <c r="D8" s="3">
        <f>41500/3600</f>
        <v>11.527777777777779</v>
      </c>
      <c r="E8" s="1"/>
      <c r="F8" s="2" t="s">
        <v>15</v>
      </c>
      <c r="I8" s="2" t="s">
        <v>16</v>
      </c>
      <c r="J8" s="13">
        <f>D8*(G9/G26)/(D12*3.1416/4*G13^2)</f>
        <v>1.3721585315590756</v>
      </c>
      <c r="L8" t="s">
        <v>17</v>
      </c>
      <c r="M8" s="6">
        <f>B8/G29</f>
        <v>661.3060827443965</v>
      </c>
    </row>
    <row r="9" spans="1:13" ht="12">
      <c r="A9" t="s">
        <v>18</v>
      </c>
      <c r="B9" s="1">
        <v>35</v>
      </c>
      <c r="C9" s="1"/>
      <c r="D9" s="1">
        <v>140</v>
      </c>
      <c r="E9" s="1"/>
      <c r="F9" s="2" t="s">
        <v>19</v>
      </c>
      <c r="G9">
        <v>2</v>
      </c>
      <c r="I9" s="2" t="s">
        <v>20</v>
      </c>
      <c r="J9" s="6">
        <f>D12*J8*G13/D14</f>
        <v>11680.406786482334</v>
      </c>
      <c r="L9" t="s">
        <v>20</v>
      </c>
      <c r="M9" s="6">
        <f>M8*G28/B14</f>
        <v>25684.589837088384</v>
      </c>
    </row>
    <row r="10" spans="1:13" ht="12">
      <c r="A10" t="s">
        <v>21</v>
      </c>
      <c r="B10" s="1">
        <v>85</v>
      </c>
      <c r="C10" s="1"/>
      <c r="D10" s="1">
        <v>80</v>
      </c>
      <c r="E10" s="1"/>
      <c r="F10" s="2" t="s">
        <v>22</v>
      </c>
      <c r="I10" t="s">
        <v>23</v>
      </c>
      <c r="J10" s="7">
        <f>(1.58*LN(J9)-3.28)^(-2)</f>
        <v>0.007538141483914293</v>
      </c>
      <c r="L10" t="s">
        <v>24</v>
      </c>
      <c r="M10">
        <f>(B11+D11)/2</f>
        <v>85</v>
      </c>
    </row>
    <row r="11" spans="1:13" ht="12">
      <c r="A11" t="s">
        <v>25</v>
      </c>
      <c r="B11" s="1">
        <f>(B9+B10)/2</f>
        <v>60</v>
      </c>
      <c r="C11" s="1"/>
      <c r="D11" s="1">
        <f>(D9+D10)/2</f>
        <v>110</v>
      </c>
      <c r="E11" s="1"/>
      <c r="F11" s="2" t="s">
        <v>26</v>
      </c>
      <c r="G11">
        <v>54</v>
      </c>
      <c r="I11" t="s">
        <v>27</v>
      </c>
      <c r="J11" s="5">
        <f>(J10/2)*(J9-1000)*D16/(1+12.7*SQRT(J10/2)*(D16^(2/3)-1))</f>
        <v>136.2225939056543</v>
      </c>
      <c r="K11" t="s">
        <v>28</v>
      </c>
      <c r="L11" t="s">
        <v>29</v>
      </c>
      <c r="M11" s="8">
        <f>(-(3.47-3.72)/(87.78-82.22)*(87.787-85)+3.27)/10000</f>
        <v>0.0003395314748201439</v>
      </c>
    </row>
    <row r="12" spans="1:13" ht="12">
      <c r="A12" s="9" t="s">
        <v>30</v>
      </c>
      <c r="B12" s="1">
        <v>983.3</v>
      </c>
      <c r="C12" s="1"/>
      <c r="D12" s="1">
        <v>1052</v>
      </c>
      <c r="E12" s="1"/>
      <c r="F12" s="2" t="s">
        <v>31</v>
      </c>
      <c r="G12" s="10">
        <f>3/4*0.0254</f>
        <v>0.019049999999999997</v>
      </c>
      <c r="I12" t="s">
        <v>32</v>
      </c>
      <c r="J12" s="6">
        <f>J11*D15/G13</f>
        <v>2283.6401315146522</v>
      </c>
      <c r="L12" t="s">
        <v>33</v>
      </c>
      <c r="M12" s="4">
        <f>(B14/M11)^0.14</f>
        <v>1.046886793998461</v>
      </c>
    </row>
    <row r="13" spans="1:14" ht="12">
      <c r="A13" t="s">
        <v>34</v>
      </c>
      <c r="B13" s="1">
        <v>4179</v>
      </c>
      <c r="C13" s="1"/>
      <c r="D13" s="1">
        <v>2784</v>
      </c>
      <c r="E13" s="1"/>
      <c r="F13" s="2" t="s">
        <v>35</v>
      </c>
      <c r="G13" s="10">
        <f>0.62*0.0254</f>
        <v>0.015747999999999998</v>
      </c>
      <c r="L13" t="s">
        <v>27</v>
      </c>
      <c r="M13" s="5">
        <f>0.36*M9^0.55*B16^(1/3)*M12</f>
        <v>144.8919764134924</v>
      </c>
      <c r="N13" t="s">
        <v>36</v>
      </c>
    </row>
    <row r="14" spans="1:13" ht="12">
      <c r="A14" t="s">
        <v>37</v>
      </c>
      <c r="B14" s="1">
        <v>0.000471</v>
      </c>
      <c r="C14" s="1"/>
      <c r="D14" s="11">
        <f>0.00000185*D12</f>
        <v>0.0019462000000000001</v>
      </c>
      <c r="E14" s="1"/>
      <c r="F14" s="2" t="s">
        <v>38</v>
      </c>
      <c r="G14" s="12">
        <v>1.21</v>
      </c>
      <c r="L14" t="s">
        <v>39</v>
      </c>
      <c r="M14" s="6">
        <f>M13*B15/G28</f>
        <v>5180.015512507428</v>
      </c>
    </row>
    <row r="15" spans="1:12" ht="12">
      <c r="A15" t="s">
        <v>40</v>
      </c>
      <c r="B15" s="1">
        <v>0.654</v>
      </c>
      <c r="C15" s="1"/>
      <c r="D15" s="1">
        <v>0.264</v>
      </c>
      <c r="E15" s="1"/>
      <c r="F15" s="2" t="s">
        <v>41</v>
      </c>
      <c r="G15" s="12">
        <f>0.0254*1</f>
        <v>0.0254</v>
      </c>
      <c r="I15" t="s">
        <v>42</v>
      </c>
      <c r="J15" s="8">
        <f>0.00009</f>
        <v>9E-05</v>
      </c>
      <c r="K15" t="s">
        <v>43</v>
      </c>
      <c r="L15" s="13">
        <f>J21*D18/J16</f>
        <v>15.384382905992904</v>
      </c>
    </row>
    <row r="16" spans="1:12" ht="12">
      <c r="A16" t="s">
        <v>44</v>
      </c>
      <c r="B16" s="1">
        <v>3.01</v>
      </c>
      <c r="C16" s="1"/>
      <c r="D16" s="14">
        <f>D14*D13/D15</f>
        <v>20.523563636363637</v>
      </c>
      <c r="E16" s="1"/>
      <c r="F16" s="2" t="s">
        <v>45</v>
      </c>
      <c r="G16" s="12">
        <v>0.6</v>
      </c>
      <c r="I16" t="s">
        <v>46</v>
      </c>
      <c r="J16" s="6">
        <f>1/(1/M14+G14/J12+G12*LN(G14)/(2*G11))</f>
        <v>1321.826844712314</v>
      </c>
      <c r="K16" t="s">
        <v>47</v>
      </c>
      <c r="L16" s="13">
        <f>J21*D18/J17</f>
        <v>17.214577034295626</v>
      </c>
    </row>
    <row r="17" spans="1:12" ht="12">
      <c r="A17" t="s">
        <v>48</v>
      </c>
      <c r="B17" s="1">
        <v>8.8E-05</v>
      </c>
      <c r="C17" s="1"/>
      <c r="D17" s="1">
        <v>0.000352</v>
      </c>
      <c r="E17" s="1"/>
      <c r="F17" s="2" t="s">
        <v>49</v>
      </c>
      <c r="G17" s="12" t="s">
        <v>50</v>
      </c>
      <c r="I17" t="s">
        <v>51</v>
      </c>
      <c r="J17" s="6">
        <f>(1/J16+J15)^(-1)</f>
        <v>1181.2947988185488</v>
      </c>
      <c r="K17" t="s">
        <v>52</v>
      </c>
      <c r="L17" s="13">
        <f>J17/J16</f>
        <v>0.8936834681063306</v>
      </c>
    </row>
    <row r="18" spans="1:12" ht="12">
      <c r="A18" t="s">
        <v>53</v>
      </c>
      <c r="B18" s="1">
        <f>B8*B13</f>
        <v>38512</v>
      </c>
      <c r="C18" s="1"/>
      <c r="D18" s="15">
        <f>D8*D13</f>
        <v>32093.333333333336</v>
      </c>
      <c r="E18" s="1"/>
      <c r="F18" s="16" t="s">
        <v>54</v>
      </c>
      <c r="G18" s="12">
        <v>0.045</v>
      </c>
      <c r="I18" t="s">
        <v>55</v>
      </c>
      <c r="J18" s="4">
        <f>D18/B18</f>
        <v>0.8333333333333334</v>
      </c>
      <c r="K18" t="s">
        <v>56</v>
      </c>
      <c r="L18" s="6">
        <f>100*J16*J15</f>
        <v>11.896441602410826</v>
      </c>
    </row>
    <row r="19" spans="2:12" ht="12">
      <c r="B19" s="1"/>
      <c r="C19" s="1"/>
      <c r="D19" s="1"/>
      <c r="E19" s="1"/>
      <c r="F19" s="16" t="s">
        <v>57</v>
      </c>
      <c r="G19" s="10">
        <f>G18/(G13*1000)</f>
        <v>0.0028575057150114305</v>
      </c>
      <c r="I19" s="16" t="s">
        <v>58</v>
      </c>
      <c r="J19" s="4">
        <f>(D9-D10)/(D9-B9)</f>
        <v>0.5714285714285714</v>
      </c>
      <c r="K19" t="s">
        <v>59</v>
      </c>
      <c r="L19" s="5">
        <f>L16/(3.1416*G12*G26)</f>
        <v>3.507814636003018</v>
      </c>
    </row>
    <row r="20" spans="2:12" ht="12">
      <c r="B20" s="1"/>
      <c r="C20" s="1"/>
      <c r="D20" s="1"/>
      <c r="E20" s="1"/>
      <c r="F20" s="2" t="s">
        <v>23</v>
      </c>
      <c r="G20" s="10">
        <v>0.0065</v>
      </c>
      <c r="I20" t="s">
        <v>60</v>
      </c>
      <c r="J20" s="13">
        <f>(2/J19-1+J18)/SQRT(1+J18^2)</f>
        <v>2.5607375986579193</v>
      </c>
      <c r="K20" t="s">
        <v>61</v>
      </c>
      <c r="L20" s="6">
        <f>L19/G27-1</f>
        <v>18.180963670182738</v>
      </c>
    </row>
    <row r="21" spans="2:12" ht="12">
      <c r="B21" s="1"/>
      <c r="C21" s="1"/>
      <c r="D21" s="1"/>
      <c r="E21" s="1"/>
      <c r="F21" s="2" t="s">
        <v>16</v>
      </c>
      <c r="G21" s="17">
        <f>SQRT(1000/(2*G20*D12/G13))</f>
        <v>1.07308261023484</v>
      </c>
      <c r="I21" t="s">
        <v>62</v>
      </c>
      <c r="J21" s="13">
        <f>-1/SQRT(J18^2+1)*LN((J20-1)/(J20+1))</f>
        <v>0.6336359674223512</v>
      </c>
      <c r="L21" s="6"/>
    </row>
    <row r="22" spans="2:7" ht="12">
      <c r="B22" s="1"/>
      <c r="C22" s="1"/>
      <c r="D22" s="1"/>
      <c r="E22" s="1"/>
      <c r="F22" s="2" t="s">
        <v>63</v>
      </c>
      <c r="G22" s="17">
        <f>D12*G21*3.1416/4*G13^2</f>
        <v>0.21988246955211888</v>
      </c>
    </row>
    <row r="23" spans="2:9" ht="12">
      <c r="B23" s="1"/>
      <c r="C23" s="1"/>
      <c r="D23" s="1"/>
      <c r="E23" s="1"/>
      <c r="F23" s="2" t="s">
        <v>64</v>
      </c>
      <c r="G23" s="18">
        <f>D8/G22*G9</f>
        <v>104.85399587569525</v>
      </c>
      <c r="I23" t="s">
        <v>65</v>
      </c>
    </row>
    <row r="24" spans="2:12" ht="12">
      <c r="B24" s="1"/>
      <c r="C24" s="1"/>
      <c r="D24" s="1"/>
      <c r="E24" s="1"/>
      <c r="F24" s="2" t="s">
        <v>66</v>
      </c>
      <c r="G24" s="12"/>
      <c r="I24" t="s">
        <v>12</v>
      </c>
      <c r="L24" t="s">
        <v>13</v>
      </c>
    </row>
    <row r="25" spans="2:13" ht="12">
      <c r="B25" s="1"/>
      <c r="C25" s="1"/>
      <c r="D25" s="1"/>
      <c r="E25" s="1"/>
      <c r="F25" s="2" t="s">
        <v>67</v>
      </c>
      <c r="G25" s="12">
        <f>H25*0.0254</f>
        <v>0.30479999999999996</v>
      </c>
      <c r="H25">
        <v>12</v>
      </c>
      <c r="I25" s="16" t="s">
        <v>68</v>
      </c>
      <c r="J25" s="10">
        <v>0.0028575057150114305</v>
      </c>
      <c r="L25" s="16" t="s">
        <v>68</v>
      </c>
      <c r="M25" s="8">
        <f>G18/(1000*G28)</f>
        <v>0.0024599228649199232</v>
      </c>
    </row>
    <row r="26" spans="2:13" ht="12">
      <c r="B26" s="1"/>
      <c r="C26" s="1"/>
      <c r="D26" s="1"/>
      <c r="E26" s="1"/>
      <c r="F26" s="2" t="s">
        <v>64</v>
      </c>
      <c r="G26">
        <v>82</v>
      </c>
      <c r="I26" t="s">
        <v>20</v>
      </c>
      <c r="J26" s="6">
        <f>J9</f>
        <v>11680.406786482334</v>
      </c>
      <c r="L26" t="s">
        <v>20</v>
      </c>
      <c r="M26" s="6">
        <f>M9</f>
        <v>25684.589837088384</v>
      </c>
    </row>
    <row r="27" spans="2:13" ht="12">
      <c r="B27" s="1"/>
      <c r="C27" s="1"/>
      <c r="D27" s="1"/>
      <c r="E27" s="1"/>
      <c r="F27" s="2" t="s">
        <v>69</v>
      </c>
      <c r="G27">
        <f>G16*G25</f>
        <v>0.18287999999999996</v>
      </c>
      <c r="I27" t="s">
        <v>70</v>
      </c>
      <c r="J27">
        <f>(2.457*LN(1/((7/J26)^0.9+0.27*J25)))^16</f>
        <v>8.402024312045055E+18</v>
      </c>
      <c r="L27" t="s">
        <v>70</v>
      </c>
      <c r="M27">
        <f>(2.457*LN(1/((7/M26)^0.9+0.27*M25)))^16</f>
        <v>2.631436853156534E+19</v>
      </c>
    </row>
    <row r="28" spans="2:13" ht="12">
      <c r="B28" s="1"/>
      <c r="C28" s="1"/>
      <c r="D28" s="1"/>
      <c r="E28" s="1"/>
      <c r="F28" s="2" t="s">
        <v>71</v>
      </c>
      <c r="G28" s="4">
        <f>4/(3.1416*G12)*(SQRT(3)/2*G15^2-3.1416*G12^2/4)</f>
        <v>0.018293256525124767</v>
      </c>
      <c r="I28" t="s">
        <v>72</v>
      </c>
      <c r="J28">
        <f>(37530/J26)^16</f>
        <v>129041541.79399613</v>
      </c>
      <c r="L28" t="s">
        <v>72</v>
      </c>
      <c r="M28">
        <f>(37530/M26)^16</f>
        <v>431.81216616702625</v>
      </c>
    </row>
    <row r="29" spans="2:13" ht="12">
      <c r="B29" s="1"/>
      <c r="C29" s="1"/>
      <c r="D29" s="1"/>
      <c r="E29" s="1"/>
      <c r="F29" s="2" t="s">
        <v>73</v>
      </c>
      <c r="G29" s="7">
        <f>(G15-G12)/G15*G25*G27</f>
        <v>0.013935455999999997</v>
      </c>
      <c r="I29" t="s">
        <v>23</v>
      </c>
      <c r="J29" s="8">
        <f>2*((8/J26)^12+1/(J27+J28)^(3/2))^(1/12)</f>
        <v>0.008619498609495043</v>
      </c>
      <c r="K29" s="13"/>
      <c r="L29" t="s">
        <v>23</v>
      </c>
      <c r="M29" s="8">
        <f>2*((8/M26)^12+1/(M27+M28)^(3/2))^(1/12)</f>
        <v>0.007473187463360807</v>
      </c>
    </row>
    <row r="30" spans="2:13" ht="12">
      <c r="B30" s="1"/>
      <c r="C30" s="1"/>
      <c r="D30" s="1"/>
      <c r="E30" s="1"/>
      <c r="F30" s="2"/>
      <c r="I30" t="s">
        <v>74</v>
      </c>
      <c r="J30" s="6">
        <f>G9*2*J29*L19/G13*D12*J8^2+(G9-1)*D12*J8^2*2</f>
        <v>19173.14401590371</v>
      </c>
      <c r="L30" t="s">
        <v>74</v>
      </c>
      <c r="M30" s="5">
        <f>M29*M8^2*(L20+1)*G25/(B12*G28)</f>
        <v>1062.2316395387402</v>
      </c>
    </row>
    <row r="31" spans="2:13" ht="12">
      <c r="B31" s="1"/>
      <c r="C31" s="1"/>
      <c r="D31" s="1"/>
      <c r="E31" s="1"/>
      <c r="F31" s="2"/>
      <c r="I31" t="s">
        <v>75</v>
      </c>
      <c r="J31" s="6">
        <f>J30/L19</f>
        <v>5465.837282026556</v>
      </c>
      <c r="L31" t="s">
        <v>75</v>
      </c>
      <c r="M31" s="6">
        <f>M30/L19</f>
        <v>302.8186348948874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J30" sqref="J30:J31"/>
    </sheetView>
  </sheetViews>
  <sheetFormatPr defaultColWidth="11.421875" defaultRowHeight="12.75"/>
  <sheetData>
    <row r="1" ht="12">
      <c r="A1" t="s">
        <v>108</v>
      </c>
    </row>
    <row r="5" spans="2:9" ht="12">
      <c r="B5" s="1" t="s">
        <v>2</v>
      </c>
      <c r="C5" s="1"/>
      <c r="D5" s="1" t="s">
        <v>3</v>
      </c>
      <c r="E5" s="1"/>
      <c r="F5" s="2" t="s">
        <v>4</v>
      </c>
      <c r="G5" s="2">
        <f>D8*D13*(D9-D10)</f>
        <v>1925600.0000000002</v>
      </c>
      <c r="I5" t="s">
        <v>5</v>
      </c>
    </row>
    <row r="6" spans="2:6" ht="12">
      <c r="B6" s="1" t="s">
        <v>6</v>
      </c>
      <c r="C6" s="1"/>
      <c r="D6" s="1" t="s">
        <v>7</v>
      </c>
      <c r="E6" s="1"/>
      <c r="F6" s="2"/>
    </row>
    <row r="7" spans="1:12" ht="12">
      <c r="A7" t="s">
        <v>8</v>
      </c>
      <c r="B7" s="1" t="s">
        <v>9</v>
      </c>
      <c r="C7" s="1"/>
      <c r="D7" s="1" t="s">
        <v>10</v>
      </c>
      <c r="E7" s="1"/>
      <c r="F7" s="2" t="s">
        <v>11</v>
      </c>
      <c r="I7" t="s">
        <v>12</v>
      </c>
      <c r="L7" t="s">
        <v>13</v>
      </c>
    </row>
    <row r="8" spans="1:13" ht="12">
      <c r="A8" t="s">
        <v>14</v>
      </c>
      <c r="B8" s="3">
        <f>G5/(B13*(B10-B9))</f>
        <v>9.215601818616895</v>
      </c>
      <c r="C8" s="1"/>
      <c r="D8" s="3">
        <f>41500/3600</f>
        <v>11.527777777777779</v>
      </c>
      <c r="E8" s="1"/>
      <c r="F8" s="2" t="s">
        <v>15</v>
      </c>
      <c r="I8" s="2" t="s">
        <v>16</v>
      </c>
      <c r="J8" s="13">
        <f>D8*(G9/G26)/(D12*3.1416/4*G13^2)</f>
        <v>1.148132648855553</v>
      </c>
      <c r="L8" t="s">
        <v>17</v>
      </c>
      <c r="M8" s="6">
        <f>B8/G29</f>
        <v>1239.9489051457429</v>
      </c>
    </row>
    <row r="9" spans="1:13" ht="12">
      <c r="A9" t="s">
        <v>18</v>
      </c>
      <c r="B9" s="1">
        <v>35</v>
      </c>
      <c r="C9" s="1"/>
      <c r="D9" s="1">
        <v>140</v>
      </c>
      <c r="E9" s="1"/>
      <c r="F9" s="2" t="s">
        <v>19</v>
      </c>
      <c r="G9">
        <v>2</v>
      </c>
      <c r="I9" s="2" t="s">
        <v>20</v>
      </c>
      <c r="J9" s="6">
        <f>D12*J8*G13/D14</f>
        <v>9773.401596852564</v>
      </c>
      <c r="L9" t="s">
        <v>20</v>
      </c>
      <c r="M9" s="6">
        <f>M8*G28/B14</f>
        <v>36253.95135880178</v>
      </c>
    </row>
    <row r="10" spans="1:13" ht="12">
      <c r="A10" t="s">
        <v>21</v>
      </c>
      <c r="B10" s="1">
        <v>85</v>
      </c>
      <c r="C10" s="1"/>
      <c r="D10" s="1">
        <v>80</v>
      </c>
      <c r="E10" s="1"/>
      <c r="F10" s="2" t="s">
        <v>22</v>
      </c>
      <c r="I10" t="s">
        <v>23</v>
      </c>
      <c r="J10" s="7">
        <f>(1.58*LN(J9)-3.28)^(-2)</f>
        <v>0.007920762698741412</v>
      </c>
      <c r="L10" t="s">
        <v>24</v>
      </c>
      <c r="M10">
        <f>(B11+D11)/2</f>
        <v>85</v>
      </c>
    </row>
    <row r="11" spans="1:13" ht="12">
      <c r="A11" t="s">
        <v>25</v>
      </c>
      <c r="B11" s="1">
        <f>(B9+B10)/2</f>
        <v>60</v>
      </c>
      <c r="C11" s="1"/>
      <c r="D11" s="1">
        <f>(D9+D10)/2</f>
        <v>110</v>
      </c>
      <c r="E11" s="1"/>
      <c r="F11" s="2" t="s">
        <v>26</v>
      </c>
      <c r="G11">
        <v>54</v>
      </c>
      <c r="I11" t="s">
        <v>27</v>
      </c>
      <c r="J11" s="5">
        <f>(J10/2)*(J9-1000)*D16/(1+12.7*SQRT(J10/2)*(D16^(2/3)-1))</f>
        <v>115.1688966862549</v>
      </c>
      <c r="K11" t="s">
        <v>28</v>
      </c>
      <c r="L11" t="s">
        <v>29</v>
      </c>
      <c r="M11" s="8">
        <f>(-(3.47-3.72)/(87.78-82.22)*(87.787-85)+3.27)/10000</f>
        <v>0.0003395314748201439</v>
      </c>
    </row>
    <row r="12" spans="1:13" ht="12">
      <c r="A12" s="9" t="s">
        <v>30</v>
      </c>
      <c r="B12" s="1">
        <v>983.3</v>
      </c>
      <c r="C12" s="1"/>
      <c r="D12" s="1">
        <v>1052</v>
      </c>
      <c r="E12" s="1"/>
      <c r="F12" s="2" t="s">
        <v>31</v>
      </c>
      <c r="G12" s="10">
        <f>3/4*0.0254</f>
        <v>0.019049999999999997</v>
      </c>
      <c r="I12" t="s">
        <v>32</v>
      </c>
      <c r="J12" s="6">
        <f>J11*D15/G13</f>
        <v>1930.6952454388684</v>
      </c>
      <c r="L12" t="s">
        <v>33</v>
      </c>
      <c r="M12" s="4">
        <f>(B14/M11)^0.14</f>
        <v>1.046886793998461</v>
      </c>
    </row>
    <row r="13" spans="1:14" ht="12">
      <c r="A13" t="s">
        <v>34</v>
      </c>
      <c r="B13" s="1">
        <v>4179</v>
      </c>
      <c r="C13" s="1"/>
      <c r="D13" s="1">
        <v>2784</v>
      </c>
      <c r="E13" s="1"/>
      <c r="F13" s="2" t="s">
        <v>35</v>
      </c>
      <c r="G13" s="10">
        <f>0.62*0.0254</f>
        <v>0.015747999999999998</v>
      </c>
      <c r="L13" t="s">
        <v>27</v>
      </c>
      <c r="M13" s="5">
        <f>0.36*M9^0.55*B16^(1/3)*M12</f>
        <v>175.13374260071768</v>
      </c>
      <c r="N13" t="s">
        <v>36</v>
      </c>
    </row>
    <row r="14" spans="1:13" ht="12">
      <c r="A14" t="s">
        <v>37</v>
      </c>
      <c r="B14" s="1">
        <v>0.000471</v>
      </c>
      <c r="C14" s="1"/>
      <c r="D14" s="11">
        <f>0.00000185*D12</f>
        <v>0.0019462000000000001</v>
      </c>
      <c r="E14" s="1"/>
      <c r="F14" s="2" t="s">
        <v>38</v>
      </c>
      <c r="G14" s="12">
        <v>1.21</v>
      </c>
      <c r="L14" t="s">
        <v>39</v>
      </c>
      <c r="M14" s="6">
        <f>M13*B15/G28</f>
        <v>8317.161059463855</v>
      </c>
    </row>
    <row r="15" spans="1:12" ht="12">
      <c r="A15" t="s">
        <v>40</v>
      </c>
      <c r="B15" s="1">
        <v>0.654</v>
      </c>
      <c r="C15" s="1"/>
      <c r="D15" s="1">
        <v>0.264</v>
      </c>
      <c r="E15" s="1"/>
      <c r="F15" s="2" t="s">
        <v>41</v>
      </c>
      <c r="G15" s="12">
        <f>0.0254*15/16</f>
        <v>0.0238125</v>
      </c>
      <c r="I15" t="s">
        <v>42</v>
      </c>
      <c r="J15" s="8">
        <f>0.00009</f>
        <v>9E-05</v>
      </c>
      <c r="K15" t="s">
        <v>43</v>
      </c>
      <c r="L15" s="13">
        <f>J21*D18/J16</f>
        <v>15.87335276616643</v>
      </c>
    </row>
    <row r="16" spans="1:12" ht="12">
      <c r="A16" t="s">
        <v>44</v>
      </c>
      <c r="B16" s="1">
        <v>3.01</v>
      </c>
      <c r="C16" s="1"/>
      <c r="D16" s="14">
        <f>D14*D13/D15</f>
        <v>20.523563636363637</v>
      </c>
      <c r="E16" s="1"/>
      <c r="F16" s="2" t="s">
        <v>45</v>
      </c>
      <c r="G16" s="12">
        <v>0.4</v>
      </c>
      <c r="I16" t="s">
        <v>46</v>
      </c>
      <c r="J16" s="6">
        <f>1/(1/M14+G14/J12+G12*LN(G14)/(2*G11))</f>
        <v>1281.1086992169128</v>
      </c>
      <c r="K16" t="s">
        <v>47</v>
      </c>
      <c r="L16" s="13">
        <f>J21*D18/J17</f>
        <v>17.703546894469152</v>
      </c>
    </row>
    <row r="17" spans="1:12" ht="12">
      <c r="A17" t="s">
        <v>48</v>
      </c>
      <c r="B17" s="1">
        <v>8.8E-05</v>
      </c>
      <c r="C17" s="1"/>
      <c r="D17" s="1">
        <v>0.000352</v>
      </c>
      <c r="E17" s="1"/>
      <c r="F17" s="2" t="s">
        <v>49</v>
      </c>
      <c r="G17" s="12" t="s">
        <v>50</v>
      </c>
      <c r="I17" t="s">
        <v>51</v>
      </c>
      <c r="J17" s="6">
        <f>(1/J16+J15)^(-1)</f>
        <v>1148.6675769378037</v>
      </c>
      <c r="K17" t="s">
        <v>52</v>
      </c>
      <c r="L17" s="13">
        <f>J17/J16</f>
        <v>0.8966199180755976</v>
      </c>
    </row>
    <row r="18" spans="1:12" ht="12">
      <c r="A18" t="s">
        <v>53</v>
      </c>
      <c r="B18" s="1">
        <f>B8*B13</f>
        <v>38512</v>
      </c>
      <c r="C18" s="1"/>
      <c r="D18" s="15">
        <f>D8*D13</f>
        <v>32093.333333333336</v>
      </c>
      <c r="E18" s="1"/>
      <c r="F18" s="16" t="s">
        <v>54</v>
      </c>
      <c r="G18" s="12">
        <v>0.045</v>
      </c>
      <c r="I18" t="s">
        <v>55</v>
      </c>
      <c r="J18" s="4">
        <f>D18/B18</f>
        <v>0.8333333333333334</v>
      </c>
      <c r="K18" t="s">
        <v>56</v>
      </c>
      <c r="L18" s="6">
        <f>100*J16*J15</f>
        <v>11.529978292952215</v>
      </c>
    </row>
    <row r="19" spans="2:12" ht="12">
      <c r="B19" s="1"/>
      <c r="C19" s="1"/>
      <c r="D19" s="1"/>
      <c r="E19" s="1"/>
      <c r="F19" s="16" t="s">
        <v>57</v>
      </c>
      <c r="G19" s="10">
        <f>G18/(G13*1000)</f>
        <v>0.0028575057150114305</v>
      </c>
      <c r="I19" s="16" t="s">
        <v>58</v>
      </c>
      <c r="J19" s="4">
        <f>(D9-D10)/(D9-B9)</f>
        <v>0.5714285714285714</v>
      </c>
      <c r="K19" t="s">
        <v>59</v>
      </c>
      <c r="L19" s="5">
        <f>L16/(3.1416*G12*G26)</f>
        <v>3.018480271828736</v>
      </c>
    </row>
    <row r="20" spans="2:12" ht="12">
      <c r="B20" s="1"/>
      <c r="C20" s="1"/>
      <c r="D20" s="1"/>
      <c r="E20" s="1"/>
      <c r="F20" s="2" t="s">
        <v>23</v>
      </c>
      <c r="G20" s="10">
        <v>0.0065</v>
      </c>
      <c r="I20" t="s">
        <v>60</v>
      </c>
      <c r="J20" s="13">
        <f>(2/J19-1+J18)/SQRT(1+J18^2)</f>
        <v>2.5607375986579193</v>
      </c>
      <c r="K20" t="s">
        <v>61</v>
      </c>
      <c r="L20" s="6">
        <f>L19/G27-1</f>
        <v>23.757876245314435</v>
      </c>
    </row>
    <row r="21" spans="2:12" ht="12">
      <c r="B21" s="1"/>
      <c r="C21" s="1"/>
      <c r="D21" s="1"/>
      <c r="E21" s="1"/>
      <c r="F21" s="2" t="s">
        <v>16</v>
      </c>
      <c r="G21" s="17">
        <f>SQRT(1000/(2*G20*D12/G13))</f>
        <v>1.07308261023484</v>
      </c>
      <c r="I21" t="s">
        <v>62</v>
      </c>
      <c r="J21" s="13">
        <f>-1/SQRT(J18^2+1)*LN((J20-1)/(J20+1))</f>
        <v>0.6336359674223512</v>
      </c>
      <c r="L21" s="6"/>
    </row>
    <row r="22" spans="2:7" ht="12">
      <c r="B22" s="1"/>
      <c r="C22" s="1"/>
      <c r="D22" s="1"/>
      <c r="E22" s="1"/>
      <c r="F22" s="2" t="s">
        <v>63</v>
      </c>
      <c r="G22" s="17">
        <f>D12*G21*3.1416/4*G13^2</f>
        <v>0.21988246955211888</v>
      </c>
    </row>
    <row r="23" spans="2:9" ht="12">
      <c r="B23" s="1"/>
      <c r="C23" s="1"/>
      <c r="D23" s="1"/>
      <c r="E23" s="1"/>
      <c r="F23" s="2" t="s">
        <v>64</v>
      </c>
      <c r="G23" s="18">
        <f>D8/G22*G9</f>
        <v>104.85399587569525</v>
      </c>
      <c r="I23" t="s">
        <v>65</v>
      </c>
    </row>
    <row r="24" spans="2:12" ht="12">
      <c r="B24" s="1"/>
      <c r="C24" s="1"/>
      <c r="D24" s="1"/>
      <c r="E24" s="1"/>
      <c r="F24" s="2" t="s">
        <v>66</v>
      </c>
      <c r="G24" s="12"/>
      <c r="I24" t="s">
        <v>12</v>
      </c>
      <c r="L24" t="s">
        <v>13</v>
      </c>
    </row>
    <row r="25" spans="2:13" ht="12">
      <c r="B25" s="1"/>
      <c r="C25" s="1"/>
      <c r="D25" s="1"/>
      <c r="E25" s="1"/>
      <c r="F25" s="2" t="s">
        <v>67</v>
      </c>
      <c r="G25" s="12">
        <f>H25*0.0254</f>
        <v>0.30479999999999996</v>
      </c>
      <c r="H25">
        <v>12</v>
      </c>
      <c r="I25" s="16" t="s">
        <v>68</v>
      </c>
      <c r="J25" s="10">
        <v>0.0028575057150114305</v>
      </c>
      <c r="L25" s="16" t="s">
        <v>68</v>
      </c>
      <c r="M25" s="8">
        <f>G18/(1000*G28)</f>
        <v>0.003267683975553268</v>
      </c>
    </row>
    <row r="26" spans="2:13" ht="12">
      <c r="B26" s="1"/>
      <c r="C26" s="1"/>
      <c r="D26" s="1"/>
      <c r="E26" s="1"/>
      <c r="F26" s="2" t="s">
        <v>64</v>
      </c>
      <c r="G26">
        <v>98</v>
      </c>
      <c r="I26" t="s">
        <v>20</v>
      </c>
      <c r="J26" s="6">
        <f>J9</f>
        <v>9773.401596852564</v>
      </c>
      <c r="L26" t="s">
        <v>20</v>
      </c>
      <c r="M26" s="6">
        <f>M9</f>
        <v>36253.95135880178</v>
      </c>
    </row>
    <row r="27" spans="2:13" ht="12">
      <c r="B27" s="1"/>
      <c r="C27" s="1"/>
      <c r="D27" s="1"/>
      <c r="E27" s="1"/>
      <c r="F27" s="2" t="s">
        <v>69</v>
      </c>
      <c r="G27">
        <f>G16*G25</f>
        <v>0.12191999999999999</v>
      </c>
      <c r="I27" t="s">
        <v>70</v>
      </c>
      <c r="J27">
        <f>(2.457*LN(1/((7/J26)^0.9+0.27*J25)))^16</f>
        <v>6.435787366514614E+18</v>
      </c>
      <c r="L27" t="s">
        <v>70</v>
      </c>
      <c r="M27">
        <f>(2.457*LN(1/((7/M26)^0.9+0.27*M25)))^16</f>
        <v>2.3871590107012276E+19</v>
      </c>
    </row>
    <row r="28" spans="2:13" ht="12">
      <c r="B28" s="1"/>
      <c r="C28" s="1"/>
      <c r="D28" s="1"/>
      <c r="E28" s="1"/>
      <c r="F28" s="2" t="s">
        <v>71</v>
      </c>
      <c r="G28" s="4">
        <f>4/(3.1416*G12)*(SQRT(3)/2*G15^2-3.1416*G12^2/4)</f>
        <v>0.013771221555285445</v>
      </c>
      <c r="I28" t="s">
        <v>72</v>
      </c>
      <c r="J28">
        <f>(37530/J26)^16</f>
        <v>2235244918.8753266</v>
      </c>
      <c r="L28" t="s">
        <v>72</v>
      </c>
      <c r="M28">
        <f>(37530/M26)^16</f>
        <v>1.7392878651748367</v>
      </c>
    </row>
    <row r="29" spans="2:13" ht="12">
      <c r="B29" s="1"/>
      <c r="C29" s="1"/>
      <c r="D29" s="1"/>
      <c r="E29" s="1"/>
      <c r="F29" s="2" t="s">
        <v>73</v>
      </c>
      <c r="G29" s="7">
        <f>(G15-G12)/G15*G25*G27</f>
        <v>0.0074322432000000025</v>
      </c>
      <c r="I29" t="s">
        <v>23</v>
      </c>
      <c r="J29" s="8">
        <f>2*((8/J26)^12+1/(J27+J28)^(3/2))^(1/12)</f>
        <v>0.00891158153256128</v>
      </c>
      <c r="K29" s="13"/>
      <c r="L29" t="s">
        <v>23</v>
      </c>
      <c r="M29" s="8">
        <f>2*((8/M26)^12+1/(M27+M28)^(3/2))^(1/12)</f>
        <v>0.007564754303284103</v>
      </c>
    </row>
    <row r="30" spans="2:13" ht="12">
      <c r="B30" s="1"/>
      <c r="C30" s="1"/>
      <c r="D30" s="1"/>
      <c r="E30" s="1"/>
      <c r="F30" s="2"/>
      <c r="I30" t="s">
        <v>74</v>
      </c>
      <c r="J30" s="6">
        <f>G9*2*J29*L19/G13*D12*J8^2+(G9-1)*D12*J8^2*2</f>
        <v>12248.475219909878</v>
      </c>
      <c r="L30" t="s">
        <v>74</v>
      </c>
      <c r="M30" s="5">
        <f>M29*M8^2*(L20+1)*G25/(B12*G28)</f>
        <v>6481.451145518092</v>
      </c>
    </row>
    <row r="31" spans="2:13" ht="12">
      <c r="B31" s="1"/>
      <c r="C31" s="1"/>
      <c r="D31" s="1"/>
      <c r="E31" s="1"/>
      <c r="F31" s="2"/>
      <c r="I31" t="s">
        <v>75</v>
      </c>
      <c r="J31" s="6">
        <f>J30/L19</f>
        <v>4057.828482174966</v>
      </c>
      <c r="L31" t="s">
        <v>75</v>
      </c>
      <c r="M31" s="6">
        <f>M30/L19</f>
        <v>2147.2564210569867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J30" sqref="J30:J31"/>
    </sheetView>
  </sheetViews>
  <sheetFormatPr defaultColWidth="11.421875" defaultRowHeight="12.75"/>
  <cols>
    <col min="2" max="2" width="9.421875" style="0" customWidth="1"/>
    <col min="3" max="3" width="2.421875" style="0" customWidth="1"/>
    <col min="5" max="5" width="1.7109375" style="0" customWidth="1"/>
    <col min="6" max="6" width="16.140625" style="0" customWidth="1"/>
    <col min="8" max="8" width="3.140625" style="0" customWidth="1"/>
  </cols>
  <sheetData>
    <row r="1" ht="12">
      <c r="A1" t="s">
        <v>0</v>
      </c>
    </row>
    <row r="5" spans="2:9" ht="12">
      <c r="B5" s="1" t="s">
        <v>2</v>
      </c>
      <c r="C5" s="1"/>
      <c r="D5" s="1" t="s">
        <v>3</v>
      </c>
      <c r="E5" s="1"/>
      <c r="F5" s="2" t="s">
        <v>4</v>
      </c>
      <c r="G5" s="2">
        <f>D8*D13*(D9-D10)</f>
        <v>1925600.0000000002</v>
      </c>
      <c r="I5" t="s">
        <v>5</v>
      </c>
    </row>
    <row r="6" spans="2:6" ht="12">
      <c r="B6" s="1" t="s">
        <v>6</v>
      </c>
      <c r="C6" s="1"/>
      <c r="D6" s="1" t="s">
        <v>7</v>
      </c>
      <c r="E6" s="1"/>
      <c r="F6" s="2"/>
    </row>
    <row r="7" spans="1:12" ht="12">
      <c r="A7" t="s">
        <v>8</v>
      </c>
      <c r="B7" s="1" t="s">
        <v>9</v>
      </c>
      <c r="C7" s="1"/>
      <c r="D7" s="1" t="s">
        <v>10</v>
      </c>
      <c r="E7" s="1"/>
      <c r="F7" s="2" t="s">
        <v>11</v>
      </c>
      <c r="I7" t="s">
        <v>12</v>
      </c>
      <c r="L7" t="s">
        <v>13</v>
      </c>
    </row>
    <row r="8" spans="1:13" ht="12">
      <c r="A8" t="s">
        <v>14</v>
      </c>
      <c r="B8" s="3">
        <f>G5/(B13*(B10-B9))</f>
        <v>9.215601818616895</v>
      </c>
      <c r="C8" s="1"/>
      <c r="D8" s="3">
        <f>41500/3600</f>
        <v>11.527777777777779</v>
      </c>
      <c r="E8" s="1"/>
      <c r="F8" s="2" t="s">
        <v>15</v>
      </c>
      <c r="I8" s="2" t="s">
        <v>16</v>
      </c>
      <c r="J8" s="13">
        <f>D8*(G9/G26)/(D12*3.1416/4*G13^2)</f>
        <v>1.8636502188199886</v>
      </c>
      <c r="L8" t="s">
        <v>17</v>
      </c>
      <c r="M8" s="6">
        <f>B8/G29</f>
        <v>991.9591241165946</v>
      </c>
    </row>
    <row r="9" spans="1:13" ht="12">
      <c r="A9" t="s">
        <v>18</v>
      </c>
      <c r="B9" s="1">
        <v>35</v>
      </c>
      <c r="C9" s="1"/>
      <c r="D9" s="1">
        <v>140</v>
      </c>
      <c r="E9" s="1"/>
      <c r="F9" s="2" t="s">
        <v>19</v>
      </c>
      <c r="G9">
        <v>2</v>
      </c>
      <c r="I9" s="2" t="s">
        <v>20</v>
      </c>
      <c r="J9" s="6">
        <f>D12*J8*G13/D14</f>
        <v>13612.50414965986</v>
      </c>
      <c r="L9" t="s">
        <v>20</v>
      </c>
      <c r="M9" s="6">
        <f>M8*G28/B14</f>
        <v>38526.88475563257</v>
      </c>
    </row>
    <row r="10" spans="1:13" ht="12">
      <c r="A10" t="s">
        <v>21</v>
      </c>
      <c r="B10" s="1">
        <v>85</v>
      </c>
      <c r="C10" s="1"/>
      <c r="D10" s="1">
        <v>80</v>
      </c>
      <c r="E10" s="1"/>
      <c r="F10" s="2" t="s">
        <v>22</v>
      </c>
      <c r="I10" t="s">
        <v>23</v>
      </c>
      <c r="J10" s="7">
        <f>(1.58*LN(J9)-3.28)^(-2)</f>
        <v>0.007231256157668393</v>
      </c>
      <c r="L10" t="s">
        <v>24</v>
      </c>
      <c r="M10">
        <f>(B11+D11)/2</f>
        <v>85</v>
      </c>
    </row>
    <row r="11" spans="1:13" ht="12">
      <c r="A11" t="s">
        <v>25</v>
      </c>
      <c r="B11" s="1">
        <f>(B9+B10)/2</f>
        <v>60</v>
      </c>
      <c r="C11" s="1"/>
      <c r="D11" s="1">
        <f>(D9+D10)/2</f>
        <v>110</v>
      </c>
      <c r="E11" s="1"/>
      <c r="F11" s="2" t="s">
        <v>26</v>
      </c>
      <c r="G11">
        <v>54</v>
      </c>
      <c r="I11" t="s">
        <v>27</v>
      </c>
      <c r="J11" s="5">
        <f>(J10/2)*(J9-1000)*D16/(1+12.7*SQRT(J10/2)*(D16^(2/3)-1))</f>
        <v>157.01325738696255</v>
      </c>
      <c r="K11" t="s">
        <v>28</v>
      </c>
      <c r="L11" t="s">
        <v>29</v>
      </c>
      <c r="M11" s="8">
        <f>(-(3.47-3.72)/(87.78-82.22)*(87.787-85)+3.27)/10000</f>
        <v>0.0003395314748201439</v>
      </c>
    </row>
    <row r="12" spans="1:13" ht="12">
      <c r="A12" s="9" t="s">
        <v>30</v>
      </c>
      <c r="B12" s="1">
        <v>983.3</v>
      </c>
      <c r="C12" s="1"/>
      <c r="D12" s="1">
        <v>1052</v>
      </c>
      <c r="E12" s="1"/>
      <c r="F12" s="2" t="s">
        <v>31</v>
      </c>
      <c r="G12" s="10">
        <f>3/4*0.0254</f>
        <v>0.019049999999999997</v>
      </c>
      <c r="I12" t="s">
        <v>32</v>
      </c>
      <c r="J12" s="6">
        <f>J11*D15/G13</f>
        <v>3067.5729641642083</v>
      </c>
      <c r="L12" t="s">
        <v>33</v>
      </c>
      <c r="M12" s="4">
        <f>(B14/M11)^0.14</f>
        <v>1.046886793998461</v>
      </c>
    </row>
    <row r="13" spans="1:14" ht="12">
      <c r="A13" t="s">
        <v>34</v>
      </c>
      <c r="B13" s="1">
        <v>4179</v>
      </c>
      <c r="C13" s="1"/>
      <c r="D13" s="1">
        <v>2784</v>
      </c>
      <c r="E13" s="1"/>
      <c r="F13" s="2" t="s">
        <v>35</v>
      </c>
      <c r="G13" s="10">
        <f>0.532*0.0254</f>
        <v>0.0135128</v>
      </c>
      <c r="L13" t="s">
        <v>27</v>
      </c>
      <c r="M13" s="5">
        <f>0.36*M9^0.55*B16^(1/3)*M12</f>
        <v>181.09002512296084</v>
      </c>
      <c r="N13" t="s">
        <v>36</v>
      </c>
    </row>
    <row r="14" spans="1:13" ht="12">
      <c r="A14" t="s">
        <v>37</v>
      </c>
      <c r="B14" s="1">
        <v>0.000471</v>
      </c>
      <c r="C14" s="1"/>
      <c r="D14" s="11">
        <f>0.00000185*D12</f>
        <v>0.0019462000000000001</v>
      </c>
      <c r="E14" s="1"/>
      <c r="F14" s="2" t="s">
        <v>38</v>
      </c>
      <c r="G14" s="12">
        <v>1.41</v>
      </c>
      <c r="L14" t="s">
        <v>39</v>
      </c>
      <c r="M14" s="6">
        <f>M13*B15/G28</f>
        <v>6474.127570875938</v>
      </c>
    </row>
    <row r="15" spans="1:12" ht="12">
      <c r="A15" t="s">
        <v>40</v>
      </c>
      <c r="B15" s="1">
        <v>0.654</v>
      </c>
      <c r="C15" s="1"/>
      <c r="D15" s="1">
        <v>0.264</v>
      </c>
      <c r="E15" s="1"/>
      <c r="F15" s="2" t="s">
        <v>41</v>
      </c>
      <c r="G15" s="12">
        <f>0.0254*1</f>
        <v>0.0254</v>
      </c>
      <c r="I15" t="s">
        <v>42</v>
      </c>
      <c r="J15" s="8">
        <f>0.00009</f>
        <v>9E-05</v>
      </c>
      <c r="K15" t="s">
        <v>43</v>
      </c>
      <c r="L15" s="13">
        <f>J21*D18/J16</f>
        <v>13.720622541184483</v>
      </c>
    </row>
    <row r="16" spans="1:12" ht="12">
      <c r="A16" t="s">
        <v>44</v>
      </c>
      <c r="B16" s="1">
        <v>3.01</v>
      </c>
      <c r="C16" s="1"/>
      <c r="D16" s="14">
        <f>D14*D13/D15</f>
        <v>20.523563636363637</v>
      </c>
      <c r="E16" s="1"/>
      <c r="F16" s="2" t="s">
        <v>45</v>
      </c>
      <c r="G16" s="12">
        <v>0.4</v>
      </c>
      <c r="I16" t="s">
        <v>46</v>
      </c>
      <c r="J16" s="6">
        <f>1/(1/M14+G14/J12+G12*LN(G14)/(2*G11))</f>
        <v>1482.1113439594064</v>
      </c>
      <c r="K16" t="s">
        <v>47</v>
      </c>
      <c r="L16" s="13">
        <f>J21*D18/J17</f>
        <v>15.550816669487203</v>
      </c>
    </row>
    <row r="17" spans="1:12" ht="12">
      <c r="A17" t="s">
        <v>48</v>
      </c>
      <c r="B17" s="1">
        <v>8.8E-05</v>
      </c>
      <c r="C17" s="1"/>
      <c r="D17" s="1">
        <v>0.000352</v>
      </c>
      <c r="E17" s="1"/>
      <c r="F17" s="2" t="s">
        <v>49</v>
      </c>
      <c r="G17" s="12" t="s">
        <v>50</v>
      </c>
      <c r="I17" t="s">
        <v>51</v>
      </c>
      <c r="J17" s="6">
        <f>(1/J16+J15)^(-1)</f>
        <v>1307.6798953186576</v>
      </c>
      <c r="K17" t="s">
        <v>52</v>
      </c>
      <c r="L17" s="13">
        <f>J17/J16</f>
        <v>0.8823088094213208</v>
      </c>
    </row>
    <row r="18" spans="1:12" ht="12">
      <c r="A18" t="s">
        <v>53</v>
      </c>
      <c r="B18" s="1">
        <f>B8*B13</f>
        <v>38512</v>
      </c>
      <c r="C18" s="1"/>
      <c r="D18" s="15">
        <f>D8*D13</f>
        <v>32093.333333333336</v>
      </c>
      <c r="E18" s="1"/>
      <c r="F18" s="16" t="s">
        <v>54</v>
      </c>
      <c r="G18" s="12">
        <v>0.045</v>
      </c>
      <c r="I18" t="s">
        <v>55</v>
      </c>
      <c r="J18" s="4">
        <f>D18/B18</f>
        <v>0.8333333333333334</v>
      </c>
      <c r="K18" t="s">
        <v>56</v>
      </c>
      <c r="L18" s="6">
        <f>100*J16*J15</f>
        <v>13.339002095634658</v>
      </c>
    </row>
    <row r="19" spans="2:12" ht="12">
      <c r="B19" s="1"/>
      <c r="C19" s="1"/>
      <c r="D19" s="1"/>
      <c r="E19" s="1"/>
      <c r="F19" s="16" t="s">
        <v>57</v>
      </c>
      <c r="G19" s="10">
        <f>G18/(G13*1000)</f>
        <v>0.0033301758332839972</v>
      </c>
      <c r="I19" s="16" t="s">
        <v>58</v>
      </c>
      <c r="J19" s="4">
        <f>(D9-D10)/(D9-B9)</f>
        <v>0.5714285714285714</v>
      </c>
      <c r="K19" t="s">
        <v>59</v>
      </c>
      <c r="L19" s="5">
        <f>L16/(3.1416*G12*G26)</f>
        <v>3.1687901600109765</v>
      </c>
    </row>
    <row r="20" spans="2:12" ht="12">
      <c r="B20" s="1"/>
      <c r="C20" s="1"/>
      <c r="D20" s="1"/>
      <c r="E20" s="1"/>
      <c r="F20" s="2" t="s">
        <v>23</v>
      </c>
      <c r="G20" s="10">
        <v>0.0065</v>
      </c>
      <c r="I20" t="s">
        <v>60</v>
      </c>
      <c r="J20" s="13">
        <f>(2/J19-1+J18)/SQRT(1+J18^2)</f>
        <v>2.5607375986579193</v>
      </c>
      <c r="K20" t="s">
        <v>61</v>
      </c>
      <c r="L20" s="6">
        <f>L19/G27-1</f>
        <v>24.99073293972258</v>
      </c>
    </row>
    <row r="21" spans="2:12" ht="12">
      <c r="B21" s="1"/>
      <c r="C21" s="1"/>
      <c r="D21" s="1"/>
      <c r="E21" s="1"/>
      <c r="F21" s="2" t="s">
        <v>16</v>
      </c>
      <c r="G21" s="17">
        <f>SQRT(1000/(2*G20*D12/G13))</f>
        <v>0.9940154355771069</v>
      </c>
      <c r="I21" t="s">
        <v>62</v>
      </c>
      <c r="J21" s="13">
        <f>-1/SQRT(J18^2+1)*LN((J20-1)/(J20+1))</f>
        <v>0.6336359674223512</v>
      </c>
      <c r="L21" s="6"/>
    </row>
    <row r="22" spans="2:7" ht="12">
      <c r="B22" s="1"/>
      <c r="C22" s="1"/>
      <c r="D22" s="1"/>
      <c r="E22" s="1"/>
      <c r="F22" s="2" t="s">
        <v>63</v>
      </c>
      <c r="G22" s="17">
        <f>D12*G21*3.1416/4*G13^2</f>
        <v>0.1499651903075494</v>
      </c>
    </row>
    <row r="23" spans="2:9" ht="12">
      <c r="B23" s="1"/>
      <c r="C23" s="1"/>
      <c r="D23" s="1"/>
      <c r="E23" s="1"/>
      <c r="F23" s="2" t="s">
        <v>64</v>
      </c>
      <c r="G23" s="18">
        <f>D8/G22*G9</f>
        <v>153.73938117421184</v>
      </c>
      <c r="I23" t="s">
        <v>65</v>
      </c>
    </row>
    <row r="24" spans="2:12" ht="12">
      <c r="B24" s="1"/>
      <c r="C24" s="1"/>
      <c r="D24" s="1"/>
      <c r="E24" s="1"/>
      <c r="F24" s="2" t="s">
        <v>66</v>
      </c>
      <c r="G24" s="12"/>
      <c r="I24" t="s">
        <v>12</v>
      </c>
      <c r="L24" t="s">
        <v>13</v>
      </c>
    </row>
    <row r="25" spans="2:13" ht="12">
      <c r="B25" s="1"/>
      <c r="C25" s="1"/>
      <c r="D25" s="1"/>
      <c r="E25" s="1"/>
      <c r="F25" s="2" t="s">
        <v>67</v>
      </c>
      <c r="G25" s="12">
        <f>H25*0.0254</f>
        <v>0.30479999999999996</v>
      </c>
      <c r="H25">
        <v>12</v>
      </c>
      <c r="I25" s="16" t="s">
        <v>68</v>
      </c>
      <c r="J25" s="10">
        <v>0.0028575057150114305</v>
      </c>
      <c r="L25" s="16" t="s">
        <v>68</v>
      </c>
      <c r="M25" s="8">
        <f>G18/(1000*G28)</f>
        <v>0.0024599228649199232</v>
      </c>
    </row>
    <row r="26" spans="2:13" ht="12">
      <c r="B26" s="1"/>
      <c r="C26" s="1"/>
      <c r="D26" s="1"/>
      <c r="E26" s="1"/>
      <c r="F26" s="2" t="s">
        <v>64</v>
      </c>
      <c r="G26">
        <v>82</v>
      </c>
      <c r="I26" t="s">
        <v>20</v>
      </c>
      <c r="J26" s="6">
        <f>J9</f>
        <v>13612.50414965986</v>
      </c>
      <c r="L26" t="s">
        <v>20</v>
      </c>
      <c r="M26" s="6">
        <f>M9</f>
        <v>38526.88475563257</v>
      </c>
    </row>
    <row r="27" spans="2:13" ht="12">
      <c r="B27" s="1"/>
      <c r="C27" s="1"/>
      <c r="D27" s="1"/>
      <c r="E27" s="1"/>
      <c r="F27" s="2" t="s">
        <v>69</v>
      </c>
      <c r="G27">
        <f>G16*G25</f>
        <v>0.12191999999999999</v>
      </c>
      <c r="I27" t="s">
        <v>70</v>
      </c>
      <c r="J27">
        <f>(2.457*LN(1/((7/J26)^0.9+0.27*J25)))^16</f>
        <v>1.0398287455842075E+19</v>
      </c>
      <c r="L27" t="s">
        <v>70</v>
      </c>
      <c r="M27">
        <f>(2.457*LN(1/((7/M26)^0.9+0.27*M25)))^16</f>
        <v>3.8441731294728724E+19</v>
      </c>
    </row>
    <row r="28" spans="2:13" ht="12">
      <c r="B28" s="1"/>
      <c r="C28" s="1"/>
      <c r="D28" s="1"/>
      <c r="E28" s="1"/>
      <c r="F28" s="2" t="s">
        <v>71</v>
      </c>
      <c r="G28" s="4">
        <f>4/(3.1416*G12)*(SQRT(3)/2*G15^2-3.1416*G12^2/4)</f>
        <v>0.018293256525124767</v>
      </c>
      <c r="I28" t="s">
        <v>72</v>
      </c>
      <c r="J28">
        <f>(37530/J26)^16</f>
        <v>11144193.085901605</v>
      </c>
      <c r="L28" t="s">
        <v>72</v>
      </c>
      <c r="M28">
        <f>(37530/M26)^16</f>
        <v>0.6574076135072486</v>
      </c>
    </row>
    <row r="29" spans="2:13" ht="12">
      <c r="B29" s="1"/>
      <c r="C29" s="1"/>
      <c r="D29" s="1"/>
      <c r="E29" s="1"/>
      <c r="F29" s="2" t="s">
        <v>73</v>
      </c>
      <c r="G29" s="7">
        <f>(G15-G12)/G15*G25*G27</f>
        <v>0.009290304</v>
      </c>
      <c r="I29" t="s">
        <v>23</v>
      </c>
      <c r="J29" s="8">
        <f>2*((8/J26)^12+1/(J27+J28)^(3/2))^(1/12)</f>
        <v>0.008392855932028596</v>
      </c>
      <c r="K29" s="13"/>
      <c r="L29" t="s">
        <v>23</v>
      </c>
      <c r="M29" s="8">
        <f>2*((8/M26)^12+1/(M27+M28)^(3/2))^(1/12)</f>
        <v>0.007127375310853842</v>
      </c>
    </row>
    <row r="30" spans="2:13" ht="12">
      <c r="B30" s="1"/>
      <c r="C30" s="1"/>
      <c r="D30" s="1"/>
      <c r="E30" s="1"/>
      <c r="F30" s="2"/>
      <c r="I30" t="s">
        <v>74</v>
      </c>
      <c r="J30" s="6">
        <f>G9*2*J29*L19/G13*D12*J8^2+(G9-1)*D12*J8^2*2</f>
        <v>36072.467912259664</v>
      </c>
      <c r="L30" t="s">
        <v>74</v>
      </c>
      <c r="M30" s="5">
        <f>M29*M8^2*(L20+1)*G25/(B12*G28)</f>
        <v>3088.6849150621388</v>
      </c>
    </row>
    <row r="31" spans="2:13" ht="12">
      <c r="B31" s="1"/>
      <c r="C31" s="1"/>
      <c r="D31" s="1"/>
      <c r="E31" s="1"/>
      <c r="F31" s="2"/>
      <c r="I31" t="s">
        <v>75</v>
      </c>
      <c r="J31" s="6">
        <f>J30/L19</f>
        <v>11383.672029622407</v>
      </c>
      <c r="L31" t="s">
        <v>75</v>
      </c>
      <c r="M31" s="6">
        <f>M30/L19</f>
        <v>974.7205586662892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7" sqref="G7"/>
    </sheetView>
  </sheetViews>
  <sheetFormatPr defaultColWidth="11.421875" defaultRowHeight="12.75"/>
  <cols>
    <col min="1" max="1" width="13.421875" style="0" customWidth="1"/>
    <col min="2" max="3" width="11.421875" style="1" customWidth="1"/>
  </cols>
  <sheetData>
    <row r="1" ht="12">
      <c r="A1" t="s">
        <v>96</v>
      </c>
    </row>
    <row r="3" ht="12">
      <c r="A3" t="s">
        <v>79</v>
      </c>
    </row>
    <row r="4" spans="1:6" ht="12">
      <c r="A4" s="19" t="s">
        <v>99</v>
      </c>
      <c r="B4" s="20" t="s">
        <v>98</v>
      </c>
      <c r="C4" s="20" t="s">
        <v>98</v>
      </c>
      <c r="D4" s="20" t="s">
        <v>98</v>
      </c>
      <c r="E4" s="26" t="s">
        <v>98</v>
      </c>
      <c r="F4" s="20" t="s">
        <v>98</v>
      </c>
    </row>
    <row r="5" spans="1:6" ht="12">
      <c r="A5" s="19" t="s">
        <v>103</v>
      </c>
      <c r="B5" s="21">
        <v>16</v>
      </c>
      <c r="C5" s="21">
        <v>16</v>
      </c>
      <c r="D5" s="21">
        <v>16</v>
      </c>
      <c r="E5" s="27">
        <v>16</v>
      </c>
      <c r="F5" s="21">
        <v>12</v>
      </c>
    </row>
    <row r="6" spans="1:6" ht="12">
      <c r="A6" s="19" t="s">
        <v>109</v>
      </c>
      <c r="B6" s="21">
        <v>0.62</v>
      </c>
      <c r="C6" s="21">
        <v>0.62</v>
      </c>
      <c r="D6" s="21">
        <v>0.62</v>
      </c>
      <c r="E6" s="27">
        <v>0.62</v>
      </c>
      <c r="F6" s="21">
        <v>0.532</v>
      </c>
    </row>
    <row r="7" spans="1:6" ht="12">
      <c r="A7" s="19" t="s">
        <v>97</v>
      </c>
      <c r="B7" s="22" t="s">
        <v>100</v>
      </c>
      <c r="C7" s="22" t="s">
        <v>101</v>
      </c>
      <c r="D7" s="22" t="s">
        <v>100</v>
      </c>
      <c r="E7" s="28" t="s">
        <v>100</v>
      </c>
      <c r="F7" s="22" t="s">
        <v>100</v>
      </c>
    </row>
    <row r="8" spans="1:6" ht="12">
      <c r="A8" s="19" t="s">
        <v>102</v>
      </c>
      <c r="B8" s="22">
        <v>1</v>
      </c>
      <c r="C8" s="22">
        <v>1</v>
      </c>
      <c r="D8" s="22">
        <v>1</v>
      </c>
      <c r="E8" s="29" t="s">
        <v>107</v>
      </c>
      <c r="F8" s="22">
        <v>1</v>
      </c>
    </row>
    <row r="9" spans="1:6" ht="12">
      <c r="A9" s="19" t="s">
        <v>105</v>
      </c>
      <c r="B9" s="22">
        <v>40</v>
      </c>
      <c r="C9" s="22">
        <v>40</v>
      </c>
      <c r="D9" s="22">
        <v>60</v>
      </c>
      <c r="E9" s="28">
        <v>40</v>
      </c>
      <c r="F9" s="22">
        <v>40</v>
      </c>
    </row>
    <row r="10" spans="1:6" ht="12">
      <c r="A10" s="19" t="s">
        <v>95</v>
      </c>
      <c r="B10" s="22">
        <v>82</v>
      </c>
      <c r="C10" s="22">
        <v>76</v>
      </c>
      <c r="D10" s="22">
        <v>82</v>
      </c>
      <c r="E10" s="28">
        <v>98</v>
      </c>
      <c r="F10" s="22">
        <v>82</v>
      </c>
    </row>
    <row r="11" spans="1:9" ht="12">
      <c r="A11" s="19" t="s">
        <v>80</v>
      </c>
      <c r="B11" s="22">
        <v>1.37</v>
      </c>
      <c r="C11" s="22">
        <v>1.48</v>
      </c>
      <c r="D11" s="22">
        <v>1.37</v>
      </c>
      <c r="E11" s="28">
        <v>1.15</v>
      </c>
      <c r="F11" s="22">
        <v>1.86</v>
      </c>
      <c r="G11" s="1"/>
      <c r="H11" s="1"/>
      <c r="I11" s="1"/>
    </row>
    <row r="12" spans="1:9" ht="12">
      <c r="A12" s="19" t="s">
        <v>81</v>
      </c>
      <c r="B12" s="22">
        <v>992</v>
      </c>
      <c r="C12" s="22">
        <v>992</v>
      </c>
      <c r="D12" s="22">
        <v>661</v>
      </c>
      <c r="E12" s="28">
        <v>1240</v>
      </c>
      <c r="F12" s="22">
        <v>992</v>
      </c>
      <c r="G12" s="1"/>
      <c r="H12" s="1"/>
      <c r="I12" s="1"/>
    </row>
    <row r="13" spans="1:9" ht="12">
      <c r="A13" s="19" t="s">
        <v>82</v>
      </c>
      <c r="B13" s="23">
        <v>2283.6401315146522</v>
      </c>
      <c r="C13" s="23">
        <v>2451.002754138406</v>
      </c>
      <c r="D13" s="23">
        <v>2284</v>
      </c>
      <c r="E13" s="30">
        <v>1930.6952454388684</v>
      </c>
      <c r="F13" s="23">
        <v>3067.5729641642083</v>
      </c>
      <c r="G13" s="15"/>
      <c r="H13" s="15"/>
      <c r="I13" s="15"/>
    </row>
    <row r="14" spans="1:9" ht="12">
      <c r="A14" s="19" t="s">
        <v>83</v>
      </c>
      <c r="B14" s="23">
        <v>6474.127570875938</v>
      </c>
      <c r="C14" s="23">
        <v>5722</v>
      </c>
      <c r="D14" s="23">
        <v>5180.015512507428</v>
      </c>
      <c r="E14" s="30">
        <v>8317</v>
      </c>
      <c r="F14" s="23">
        <v>6474.127570875938</v>
      </c>
      <c r="G14" s="15"/>
      <c r="H14" s="15"/>
      <c r="I14" s="15"/>
    </row>
    <row r="15" spans="1:9" ht="12">
      <c r="A15" s="19" t="s">
        <v>84</v>
      </c>
      <c r="B15" s="23">
        <v>1392.8738752958939</v>
      </c>
      <c r="C15" s="23">
        <v>1424.3720962354625</v>
      </c>
      <c r="D15" s="23">
        <v>1321.826844712314</v>
      </c>
      <c r="E15" s="30">
        <v>1281.1086992169128</v>
      </c>
      <c r="F15" s="23">
        <v>1482.1113439594064</v>
      </c>
      <c r="G15" s="15"/>
      <c r="H15" s="15"/>
      <c r="I15" s="15"/>
    </row>
    <row r="16" spans="1:9" ht="12">
      <c r="A16" s="19" t="s">
        <v>85</v>
      </c>
      <c r="B16" s="23">
        <v>1237.7155290094206</v>
      </c>
      <c r="C16" s="23">
        <v>1262.5246560550008</v>
      </c>
      <c r="D16" s="23">
        <v>1181.2947988185488</v>
      </c>
      <c r="E16" s="30">
        <v>1148.6675769378037</v>
      </c>
      <c r="F16" s="23">
        <v>1307.6798953186576</v>
      </c>
      <c r="G16" s="15"/>
      <c r="H16" s="15"/>
      <c r="I16" s="15"/>
    </row>
    <row r="17" spans="1:9" ht="12">
      <c r="A17" s="19" t="s">
        <v>86</v>
      </c>
      <c r="B17" s="24">
        <v>14.599663813893207</v>
      </c>
      <c r="C17" s="24">
        <v>14.276810370141515</v>
      </c>
      <c r="D17" s="24">
        <v>15.384382905992904</v>
      </c>
      <c r="E17" s="31">
        <v>15.87335276616643</v>
      </c>
      <c r="F17" s="24">
        <v>13.720622541184483</v>
      </c>
      <c r="G17" s="14"/>
      <c r="H17" s="14"/>
      <c r="I17" s="14"/>
    </row>
    <row r="18" spans="1:9" ht="12">
      <c r="A18" s="19" t="s">
        <v>87</v>
      </c>
      <c r="B18" s="24">
        <v>16.429857942195927</v>
      </c>
      <c r="C18" s="24">
        <v>16.107004498444237</v>
      </c>
      <c r="D18" s="24">
        <v>17.214577034295626</v>
      </c>
      <c r="E18" s="31">
        <v>17.703546894469152</v>
      </c>
      <c r="F18" s="24">
        <v>15.550816669487203</v>
      </c>
      <c r="G18" s="14"/>
      <c r="H18" s="14"/>
      <c r="I18" s="14"/>
    </row>
    <row r="19" spans="1:9" ht="12">
      <c r="A19" s="19" t="s">
        <v>88</v>
      </c>
      <c r="B19" s="25">
        <v>0.8886056023891522</v>
      </c>
      <c r="C19" s="25">
        <v>0.8863727809550499</v>
      </c>
      <c r="D19" s="25">
        <v>0.8936834681063306</v>
      </c>
      <c r="E19" s="32">
        <v>0.8966199180755976</v>
      </c>
      <c r="F19" s="25">
        <v>0.8823088094213208</v>
      </c>
      <c r="G19" s="3"/>
      <c r="H19" s="3"/>
      <c r="I19" s="3"/>
    </row>
    <row r="20" spans="1:9" ht="12">
      <c r="A20" s="19" t="s">
        <v>89</v>
      </c>
      <c r="B20" s="24">
        <v>12.535864877663045</v>
      </c>
      <c r="C20" s="24">
        <v>12.819348866119164</v>
      </c>
      <c r="D20" s="24">
        <v>11.896441602410826</v>
      </c>
      <c r="E20" s="31">
        <v>11.529978292952215</v>
      </c>
      <c r="F20" s="24">
        <v>13.339002095634658</v>
      </c>
      <c r="G20" s="14"/>
      <c r="H20" s="14"/>
      <c r="I20" s="14"/>
    </row>
    <row r="21" spans="1:9" ht="12">
      <c r="A21" s="19" t="s">
        <v>90</v>
      </c>
      <c r="B21" s="25">
        <v>3.347912414128244</v>
      </c>
      <c r="C21" s="25">
        <v>3.5412396598214584</v>
      </c>
      <c r="D21" s="25">
        <v>3.507814636003018</v>
      </c>
      <c r="E21" s="32">
        <v>3.018480271828736</v>
      </c>
      <c r="F21" s="25">
        <v>3.1687901600109765</v>
      </c>
      <c r="G21" s="3"/>
      <c r="H21" s="3"/>
      <c r="I21" s="3"/>
    </row>
    <row r="22" spans="1:9" ht="12">
      <c r="A22" s="19" t="s">
        <v>91</v>
      </c>
      <c r="B22" s="23">
        <v>26.459911533204107</v>
      </c>
      <c r="C22" s="23">
        <v>28.045600884362358</v>
      </c>
      <c r="D22" s="23">
        <v>18.180963670182738</v>
      </c>
      <c r="E22" s="30">
        <v>23.757876245314435</v>
      </c>
      <c r="F22" s="23">
        <v>24.99073293972258</v>
      </c>
      <c r="G22" s="15"/>
      <c r="H22" s="15"/>
      <c r="I22" s="15"/>
    </row>
    <row r="23" spans="1:9" ht="12">
      <c r="A23" s="19" t="s">
        <v>92</v>
      </c>
      <c r="B23" s="23">
        <v>18479.725542022243</v>
      </c>
      <c r="C23" s="23">
        <v>22249.828032766964</v>
      </c>
      <c r="D23" s="23">
        <v>19173.14401590371</v>
      </c>
      <c r="E23" s="30">
        <v>12248.475219909878</v>
      </c>
      <c r="F23" s="23">
        <v>36072.467912259664</v>
      </c>
      <c r="G23" s="15"/>
      <c r="H23" s="15"/>
      <c r="I23" s="15"/>
    </row>
    <row r="24" spans="1:9" ht="12">
      <c r="A24" s="19" t="s">
        <v>93</v>
      </c>
      <c r="B24" s="23">
        <v>5519.775685898324</v>
      </c>
      <c r="C24" s="23">
        <v>6283.061913377744</v>
      </c>
      <c r="D24" s="23">
        <v>5465.837282026556</v>
      </c>
      <c r="E24" s="30">
        <v>4057.828482174966</v>
      </c>
      <c r="F24" s="23">
        <v>11383.672029622407</v>
      </c>
      <c r="G24" s="15"/>
      <c r="H24" s="15"/>
      <c r="I24" s="15"/>
    </row>
    <row r="25" spans="1:9" ht="12">
      <c r="A25" s="19" t="s">
        <v>94</v>
      </c>
      <c r="B25" s="22">
        <v>3263</v>
      </c>
      <c r="C25" s="22">
        <v>2432</v>
      </c>
      <c r="D25" s="22">
        <v>1062</v>
      </c>
      <c r="E25" s="28">
        <v>6482</v>
      </c>
      <c r="F25" s="22">
        <v>3089</v>
      </c>
      <c r="G25" s="1"/>
      <c r="H25" s="1"/>
      <c r="I25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RIVAS</dc:creator>
  <cp:keywords/>
  <dc:description/>
  <cp:lastModifiedBy>Mabel Briceño</cp:lastModifiedBy>
  <dcterms:created xsi:type="dcterms:W3CDTF">2004-11-28T17:05:34Z</dcterms:created>
  <dcterms:modified xsi:type="dcterms:W3CDTF">2004-11-28T18:10:14Z</dcterms:modified>
  <cp:category/>
  <cp:version/>
  <cp:contentType/>
  <cp:contentStatus/>
</cp:coreProperties>
</file>